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35" yWindow="5070" windowWidth="11400" windowHeight="4455" tabRatio="495" activeTab="0"/>
  </bookViews>
  <sheets>
    <sheet name="TDSheet" sheetId="1" r:id="rId1"/>
    <sheet name="Лист1" sheetId="2" r:id="rId2"/>
  </sheets>
  <definedNames>
    <definedName name="_xlnm.Print_Titles" localSheetId="0">'TDSheet'!$7:$9</definedName>
    <definedName name="_xlnm.Print_Area" localSheetId="0">'TDSheet'!$A$1:$H$292</definedName>
  </definedNames>
  <calcPr fullCalcOnLoad="1"/>
</workbook>
</file>

<file path=xl/sharedStrings.xml><?xml version="1.0" encoding="utf-8"?>
<sst xmlns="http://schemas.openxmlformats.org/spreadsheetml/2006/main" count="214" uniqueCount="92">
  <si>
    <t xml:space="preserve">Государственная программа Ленинградской области "Развитие сельского хозяйства Ленинградской области"    </t>
  </si>
  <si>
    <t xml:space="preserve">    Оценка расходов (тыс. руб., в ценах соответствующих лет)       </t>
  </si>
  <si>
    <t>Всего</t>
  </si>
  <si>
    <t>Федеральный бюджет</t>
  </si>
  <si>
    <t>Областной 
бюджет Ленинградской области</t>
  </si>
  <si>
    <t>Местные бюджеты Ленинградской области</t>
  </si>
  <si>
    <t xml:space="preserve">Итого          </t>
  </si>
  <si>
    <t>Итого</t>
  </si>
  <si>
    <t>Основное мероприятие "Поддержка развития К(Ф)Х, сельскохозяйственных потребительских кооперативов, ЛПХ"</t>
  </si>
  <si>
    <t>Основное мероприятие "Поддержка молодых специалистов"</t>
  </si>
  <si>
    <t>Основное мероприятие  “Поддержка строительства, 
реконструкции ферм и инженерной инфраструктуры малых птицеводческих ферм”</t>
  </si>
  <si>
    <t>Основное мероприятие "Оказание содействия достижения целевых показателей"</t>
  </si>
  <si>
    <t>ПЛАН РЕАЛИЗАЦИИ ГОСУДАРСТВЕННОЙ ПРОГРАММЫ ЛЕНИНГРАДСКОЙ ОБЛАСТИ 
"РАЗВИТИЕ СЕЛЬСКОГО ХОЗЯЙСТВА ЛЕНИНГРАДСКОЙ ОБЛАСТИ"</t>
  </si>
  <si>
    <t>Основное мероприятие "Поддержка приобретения кормов"</t>
  </si>
  <si>
    <t>2018-2024</t>
  </si>
  <si>
    <t>Основное мероприятие "Развитие и модернизация государственной ветеринарной службы Ленинградской области"</t>
  </si>
  <si>
    <t xml:space="preserve">Основное мероприятие “Развитие семеноводства”  </t>
  </si>
  <si>
    <t xml:space="preserve">Подпрограмма 
“Развитие отраслей животноводства”   </t>
  </si>
  <si>
    <t>Основное мероприятие "Развитие молочного скотоводства"</t>
  </si>
  <si>
    <t>Основное мероприятие "Развитие мясного скотоводства"</t>
  </si>
  <si>
    <t>Основное мероприятие "Развитие клеточного пушного звероводства в Ленинградской области"</t>
  </si>
  <si>
    <t>Основное мероприятие" Развитие свиноводства и птицеводства"</t>
  </si>
  <si>
    <t xml:space="preserve">Основное мероприятие  “Развитие рыбохозяйственного комплекса”   </t>
  </si>
  <si>
    <t xml:space="preserve">Основное мероприятие “Осуществление отдельных государственных полномочий Ленинградской области по поддержке сельскохозяйственного 
производства"   </t>
  </si>
  <si>
    <t>Основное мероприятие "Обеспечение функционирования агропромышленного комплекса"</t>
  </si>
  <si>
    <t xml:space="preserve">Итого </t>
  </si>
  <si>
    <t xml:space="preserve">Итого           </t>
  </si>
  <si>
    <t>Основное мероприятие «Улучшение жилищных условий граждан, проживающих в сельской местности, в том числе молодых семей и молодых специалистов»</t>
  </si>
  <si>
    <t>Основное мероприятие  «Комплексное обустройство населенных пунктов, расположенных в сельской местности, объектами социальной и инженерной инфраструктуры»</t>
  </si>
  <si>
    <t>Основное мероприятие «Строительство, реконструкция, капитальный ремонт и ремонт автомобильных дорог, связывающих объекты сельскохозяйственного назначения между собой и/или с дорогами общего пользования»</t>
  </si>
  <si>
    <t>Основное мероприятие «Грантовая поддержка 
местных инициатив граждан, 
проживающих в сельской местности»</t>
  </si>
  <si>
    <t xml:space="preserve">Ответственный исполнитель, 
соисполнитель, участник               </t>
  </si>
  <si>
    <t>Основное мероприятие 
«Мероприятия по борьбе с борщевиком Сосновского»</t>
  </si>
  <si>
    <t xml:space="preserve">Подпрограмма 
“Развитие отраслей растениеводства”   </t>
  </si>
  <si>
    <t>Основное мероприятие 
"Развитие мелиорации сельскохозяйственных земель”</t>
  </si>
  <si>
    <t>Основное мероприятие “Освоение сельскохозяйственными товаропроизводителями высокотехнологичных  машин и оборудования, строительство и модернизация объектов животноводства,  растениеводства и переработки сельхозпродукции, приобретение племенной продукции”</t>
  </si>
  <si>
    <t>Основное мероприятие "Создание условий для вовлечения в оборот земель сельскохозяйственного назначения"</t>
  </si>
  <si>
    <t>Подпрограмма                  "Развитие  
мелиорации   земель   сельскохозяйственного назначения 
Ленинградской области"</t>
  </si>
  <si>
    <t>Подпрограмма 
"Развитие пищевой, перерабатывающей промышленности и рыбохозяйственного комплекса"</t>
  </si>
  <si>
    <t>Основное мероприятие "Предупреждение возникновения и распространения африканской чумы свиней на территории Ленинградской области"</t>
  </si>
  <si>
    <t>Ответственный исполнитель: 
комитет АПК ЛО               
Участник:
комитет АПК ЛО</t>
  </si>
  <si>
    <t xml:space="preserve">Ответственный исполнитель: 
комитет АПК ЛО               
Участник:
комитет АПК ЛО
</t>
  </si>
  <si>
    <t xml:space="preserve">Ответственный исполнитель: 
комитет АПК ЛО   
Участник:
комитет АПК ЛО  
</t>
  </si>
  <si>
    <t>Ответственный исполнитель: 
комитет АПК ЛО  
Участники:
комитет АПК ЛО ;
комитет по строительству 
Ленинградской области.</t>
  </si>
  <si>
    <t xml:space="preserve">Ответственный исполнитель: 
комитет АПК ЛО  
Участник:
комитет АПК ЛО  
</t>
  </si>
  <si>
    <t xml:space="preserve">Ответственный исполнитель: 
комитет АПК ЛО  
Участники:
комитет АПК ЛО  </t>
  </si>
  <si>
    <t>Прочие 
источники финансирования</t>
  </si>
  <si>
    <t>Ответственный исполнитель: 
комитет АПК ЛО  
Участники:
комитет АПК ЛО ;
комитет по дорожному хозяйству 
Ленинградской области.</t>
  </si>
  <si>
    <t>Ответственный исполнитель: комитет АПК ЛО  
Участники: комитет по строительству Ленинградской области; комитет по культуре Ленинградской области;комитет общего и профессионального образования Ленинградской области; 
комитет по здравоохранению Ленинградской области; комитет по физической культуре и спорту Ленинградской области; 
комитет  по жилищно-коммунальному хозяйству   Ленинградской области; 
комитет по топливно-энергетическому комплексу Ленинградской области.</t>
  </si>
  <si>
    <t xml:space="preserve">Основное мероприятие “Поддержка развития садоводческих и  огороднических 
 некоммерческих товариществ"    </t>
  </si>
  <si>
    <t>Наименование  государственной программы, подпрограммы,  основного мероприятия, проекта</t>
  </si>
  <si>
    <t>"Приложение 3                                                                                                                       к Государственной программе..."</t>
  </si>
  <si>
    <t>Подпрограмма 
“Обеспечение реализации государственной программы Ленинградской области “Развитие сельского хозяйства 
Ленинградской области”</t>
  </si>
  <si>
    <t>Основное мероприятие «Ленинградский гектар»</t>
  </si>
  <si>
    <t>Федеральный (региональный) проект "Развитие системы оказания первичной медико-санитарной помощи"</t>
  </si>
  <si>
    <t>Федеральный  (региональный) проект "Спорт- норма жизни"</t>
  </si>
  <si>
    <t>Ответственный исполнитель: 
комитет АПК ЛО  
Участник:
комитет АПК ЛО</t>
  </si>
  <si>
    <t xml:space="preserve">Ответственный исполнитель: 
комитет АПК ЛО               
Участники:
комитет АПК ЛО;  
Ленинградский областной комитет по управлению государственным имуществом (далее - КУГИ ЛО)
</t>
  </si>
  <si>
    <r>
      <rPr>
        <sz val="9"/>
        <rFont val="Times New Roman"/>
        <family val="1"/>
      </rPr>
      <t>Ответственный исполнитель: 
комитет АПК ЛО               
Участники:
комитет АПК ЛО;  
КУГИ ЛО</t>
    </r>
    <r>
      <rPr>
        <sz val="11"/>
        <rFont val="Times New Roman"/>
        <family val="1"/>
      </rPr>
      <t xml:space="preserve">
</t>
    </r>
  </si>
  <si>
    <t>Ответственный исполнитель: 
комитет АПК ЛО       
Соиспонитель: 
Управление ветеринарии 
Ленинградской области                                                          Участники:
комитет АПК ЛО;   
Управление ветеринарии 
Ленинградской области</t>
  </si>
  <si>
    <t xml:space="preserve">Ответственный исполнитель: 
комитет АПК ЛО
Участник:
комитет АПК ЛО
</t>
  </si>
  <si>
    <t>Ответственный исполнитель: 
комитет АПК ЛО
Соиспонитель:
Управление ветеринарии Ленинградской области                                                         
Участники:
комитет АПК ЛО;
Управление ветеринарии Ленинградской области</t>
  </si>
  <si>
    <t>Ответственный исполнитель: комитет АПК ЛО  
Участники: комитет АПК ЛО;  
комитет по строительству Ленинградской области; комитет по культуре Ленинградской области;
комитет общего и профессионального образования Ленинградской области; 
комитет по здравоохранению Ленинградской области; 
комитет по физической культуре и спорту Ленинградской области; 
комитет  по жилищно-коммунальному хозяйству   Ленинградской области; 
комитет по топливно-энергетическому комплексу Ленинградской области.</t>
  </si>
  <si>
    <t>Ответственный исполнитель: 
комитет АПК ЛО  
Участники:
комитет АПК ЛО;  
комитет по строительству Ленинградской области, комитет по здравоохранению Ленинградской области</t>
  </si>
  <si>
    <t xml:space="preserve">Ответственный исполнитель: 
комитет АПК ЛО  
Участники:
комитет АПК ЛО; 
комитет по строительству Ленинградской области; комитет по физической культуре и спорту Ленинградской области  </t>
  </si>
  <si>
    <t>Ответственный исполнитель: 
комитет АПК ЛО   
Соиспонитель:Управление ветеринарии Ленинградской области                                                         
Участники:
комитет АПК ЛО;  
Управление ветеринарии Ленинградской области</t>
  </si>
  <si>
    <t>Федеральный (региональный) проект «Создание системы поддержки фермеров и развитие сельской кооперации»</t>
  </si>
  <si>
    <t xml:space="preserve">Основное мероприятие “Поддержка отдельных подотраслей растениеводства 
и животноводства”   </t>
  </si>
  <si>
    <t>2020-2024</t>
  </si>
  <si>
    <t>2018-2019</t>
  </si>
  <si>
    <t>Основное мероприятие "Поддержка доходов сельскохозяйственных товаропроизводителей 
в области растениеводства"</t>
  </si>
  <si>
    <t>Основное мероприятие "Развитие пчеловодства, охрана пород и популяций пчелиных в Ленинградской области"</t>
  </si>
  <si>
    <t>Основное мероприятие 
«Развитие сети автомобильных дорог, ведущих к общественно значимым объектам сельских населенных пунктов, объектам производства и переработки сельскохозяйственной 
продукции»</t>
  </si>
  <si>
    <t>Федеральный (региональный) проект "Экспорт продукции агропромышленного комплекса"</t>
  </si>
  <si>
    <t>Основное мероприятие "Стимулирование развития приоритетных подотраслей агропромышленного комплекса"</t>
  </si>
  <si>
    <t>Основное мероприятие "Развитие пчеловодства 
в Ленинградской области"</t>
  </si>
  <si>
    <t>Основное мероприятие "Создание и модернизация объектов агропромышленного комплекса"</t>
  </si>
  <si>
    <t>Ответственный исполнитель: 
комитет АПК ЛО   
Соиспонитель:
Управление ветеринарии Ленинградской области                                                         
Участники:
комитет АПК ЛО;  
Управление ветеринарии Ленинградской области</t>
  </si>
  <si>
    <t>Основное мероприятие "Сохранение эпизоотического благополучия по болезням промысловых рыб 
и аквакультуры"</t>
  </si>
  <si>
    <t>Подпрограмма 
“Техническая и технологическая
 модернизация, 
инновационное 
развитие”</t>
  </si>
  <si>
    <t>Ответственный исполнитель: 
комитет АПК ЛО
Участник:
комитет АПК ЛО</t>
  </si>
  <si>
    <t xml:space="preserve">в том числе
"Мероприятия и проекты" </t>
  </si>
  <si>
    <t>"Возмещение части затрат при проведении мероприятий регионального значения"</t>
  </si>
  <si>
    <t>Ответственный исполнитель: 
Управление ветеринарии Ленинградской области                                                         
Участники:
Управление ветеринарии Ленинградской области,
комитет по строительству Ленинградской области</t>
  </si>
  <si>
    <t>Ответственный исполнитель: 
Управление ветеринарии Ленинградской области                                                         
Участники:
Управление ветеринарии Ленинградской области</t>
  </si>
  <si>
    <t>Приложение 1 к изменениям</t>
  </si>
  <si>
    <t>Подпрограмма 
«Устойчивое развитие 
сельских территорий Ленинградской области»</t>
  </si>
  <si>
    <t>Подпрограмма 
“Поддержка 
малых форм 
хозяйствования”</t>
  </si>
  <si>
    <t>Ответственный исполнитель: 
Комитет по агропромышленному 
и рыбохозяйственному комплексу 
Ленинградской области 
(далее - комитет АПК ЛО)</t>
  </si>
  <si>
    <t>Годы 
реали-
зации</t>
  </si>
  <si>
    <t>Подпрограмма 
"Обеспечение 
эпизоотического 
благополучия 
на территории 
Ленинградской области"</t>
  </si>
  <si>
    <t xml:space="preserve">Подпрограмма 
“Развитие отраслей агропромышленного 
комплекса 
Ленинградской области”   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</si>
</sst>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0.0"/>
    <numFmt numFmtId="175" formatCode="#,##0.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00000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#,##0.00000"/>
    <numFmt numFmtId="187" formatCode="#,##0.00000000000"/>
    <numFmt numFmtId="188" formatCode="#,##0.000000"/>
  </numFmts>
  <fonts count="56">
    <font>
      <sz val="8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u val="single"/>
      <sz val="6.55"/>
      <color indexed="12"/>
      <name val="Arial"/>
      <family val="2"/>
    </font>
    <font>
      <u val="single"/>
      <sz val="6.55"/>
      <color indexed="36"/>
      <name val="Arial"/>
      <family val="2"/>
    </font>
    <font>
      <b/>
      <sz val="11"/>
      <name val="Times New Roman"/>
      <family val="1"/>
    </font>
    <font>
      <sz val="14"/>
      <name val="Times New Roman"/>
      <family val="1"/>
    </font>
    <font>
      <sz val="10.5"/>
      <name val="Times New Roman"/>
      <family val="1"/>
    </font>
    <font>
      <sz val="14"/>
      <name val="Arial"/>
      <family val="2"/>
    </font>
    <font>
      <sz val="13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2"/>
      <name val="Times New Roman"/>
      <family val="1"/>
    </font>
    <font>
      <sz val="11"/>
      <color indexed="17"/>
      <name val="Times New Roman"/>
      <family val="1"/>
    </font>
    <font>
      <b/>
      <sz val="12"/>
      <color indexed="30"/>
      <name val="Arial"/>
      <family val="2"/>
    </font>
    <font>
      <sz val="11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FF"/>
      <name val="Times New Roman"/>
      <family val="1"/>
    </font>
    <font>
      <sz val="11"/>
      <color rgb="FF008000"/>
      <name val="Times New Roman"/>
      <family val="1"/>
    </font>
    <font>
      <b/>
      <sz val="12"/>
      <color rgb="FF0070C0"/>
      <name val="Arial"/>
      <family val="2"/>
    </font>
    <font>
      <sz val="11"/>
      <color rgb="FFC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1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173" fontId="5" fillId="33" borderId="0" xfId="0" applyNumberFormat="1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vertical="center"/>
    </xf>
    <xf numFmtId="172" fontId="3" fillId="33" borderId="0" xfId="0" applyNumberFormat="1" applyFont="1" applyFill="1" applyBorder="1" applyAlignment="1">
      <alignment horizontal="center" vertical="center" wrapText="1"/>
    </xf>
    <xf numFmtId="172" fontId="5" fillId="33" borderId="0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172" fontId="10" fillId="33" borderId="10" xfId="0" applyNumberFormat="1" applyFont="1" applyFill="1" applyBorder="1" applyAlignment="1">
      <alignment horizontal="center" vertical="center" wrapText="1"/>
    </xf>
    <xf numFmtId="3" fontId="5" fillId="33" borderId="10" xfId="0" applyNumberFormat="1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173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vertical="center" wrapText="1"/>
    </xf>
    <xf numFmtId="0" fontId="0" fillId="33" borderId="0" xfId="0" applyFont="1" applyFill="1" applyAlignment="1">
      <alignment vertical="center"/>
    </xf>
    <xf numFmtId="173" fontId="5" fillId="33" borderId="11" xfId="0" applyNumberFormat="1" applyFont="1" applyFill="1" applyBorder="1" applyAlignment="1">
      <alignment horizontal="center" vertical="center" wrapText="1"/>
    </xf>
    <xf numFmtId="185" fontId="0" fillId="33" borderId="0" xfId="0" applyNumberFormat="1" applyFont="1" applyFill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vertical="center"/>
    </xf>
    <xf numFmtId="0" fontId="1" fillId="33" borderId="0" xfId="0" applyFont="1" applyFill="1" applyBorder="1" applyAlignment="1">
      <alignment vertical="center" wrapText="1"/>
    </xf>
    <xf numFmtId="0" fontId="1" fillId="33" borderId="0" xfId="0" applyFont="1" applyFill="1" applyAlignment="1">
      <alignment vertical="center" wrapText="1"/>
    </xf>
    <xf numFmtId="0" fontId="2" fillId="33" borderId="0" xfId="0" applyFont="1" applyFill="1" applyAlignment="1">
      <alignment horizontal="left" vertical="center" wrapText="1"/>
    </xf>
    <xf numFmtId="0" fontId="1" fillId="33" borderId="0" xfId="0" applyFont="1" applyFill="1" applyAlignment="1">
      <alignment horizontal="center" vertical="center" wrapText="1"/>
    </xf>
    <xf numFmtId="172" fontId="1" fillId="33" borderId="0" xfId="0" applyNumberFormat="1" applyFont="1" applyFill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 wrapText="1"/>
    </xf>
    <xf numFmtId="172" fontId="5" fillId="33" borderId="10" xfId="0" applyNumberFormat="1" applyFont="1" applyFill="1" applyBorder="1" applyAlignment="1">
      <alignment horizontal="center" vertical="center" wrapText="1"/>
    </xf>
    <xf numFmtId="173" fontId="5" fillId="0" borderId="10" xfId="0" applyNumberFormat="1" applyFont="1" applyFill="1" applyBorder="1" applyAlignment="1">
      <alignment horizontal="center" vertical="center" wrapText="1"/>
    </xf>
    <xf numFmtId="173" fontId="5" fillId="0" borderId="0" xfId="0" applyNumberFormat="1" applyFont="1" applyFill="1" applyBorder="1" applyAlignment="1">
      <alignment horizontal="center" vertical="center" wrapText="1"/>
    </xf>
    <xf numFmtId="173" fontId="8" fillId="33" borderId="0" xfId="0" applyNumberFormat="1" applyFont="1" applyFill="1" applyBorder="1" applyAlignment="1">
      <alignment horizontal="center" vertical="center" wrapText="1"/>
    </xf>
    <xf numFmtId="173" fontId="5" fillId="33" borderId="0" xfId="0" applyNumberFormat="1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/>
    </xf>
    <xf numFmtId="173" fontId="5" fillId="33" borderId="0" xfId="0" applyNumberFormat="1" applyFont="1" applyFill="1" applyAlignment="1">
      <alignment horizontal="center" vertical="center"/>
    </xf>
    <xf numFmtId="0" fontId="0" fillId="33" borderId="0" xfId="0" applyFont="1" applyFill="1" applyAlignment="1">
      <alignment horizontal="center"/>
    </xf>
    <xf numFmtId="173" fontId="52" fillId="34" borderId="0" xfId="0" applyNumberFormat="1" applyFont="1" applyFill="1" applyAlignment="1">
      <alignment horizontal="center" vertical="center"/>
    </xf>
    <xf numFmtId="173" fontId="53" fillId="34" borderId="0" xfId="0" applyNumberFormat="1" applyFont="1" applyFill="1" applyAlignment="1">
      <alignment horizontal="center" vertical="center"/>
    </xf>
    <xf numFmtId="185" fontId="0" fillId="33" borderId="0" xfId="0" applyNumberFormat="1" applyFont="1" applyFill="1" applyAlignment="1">
      <alignment horizontal="center"/>
    </xf>
    <xf numFmtId="183" fontId="11" fillId="33" borderId="0" xfId="0" applyNumberFormat="1" applyFont="1" applyFill="1" applyAlignment="1">
      <alignment horizontal="center"/>
    </xf>
    <xf numFmtId="173" fontId="0" fillId="33" borderId="0" xfId="0" applyNumberFormat="1" applyFont="1" applyFill="1" applyAlignment="1">
      <alignment horizontal="center"/>
    </xf>
    <xf numFmtId="173" fontId="53" fillId="33" borderId="10" xfId="0" applyNumberFormat="1" applyFont="1" applyFill="1" applyBorder="1" applyAlignment="1">
      <alignment horizontal="center" vertical="center" wrapText="1"/>
    </xf>
    <xf numFmtId="173" fontId="53" fillId="33" borderId="14" xfId="0" applyNumberFormat="1" applyFont="1" applyFill="1" applyBorder="1" applyAlignment="1">
      <alignment horizontal="center" vertical="center" wrapText="1"/>
    </xf>
    <xf numFmtId="175" fontId="0" fillId="33" borderId="0" xfId="0" applyNumberFormat="1" applyFont="1" applyFill="1" applyAlignment="1">
      <alignment horizontal="center" vertical="center"/>
    </xf>
    <xf numFmtId="175" fontId="5" fillId="33" borderId="0" xfId="0" applyNumberFormat="1" applyFont="1" applyFill="1" applyAlignment="1">
      <alignment horizontal="center" vertical="center"/>
    </xf>
    <xf numFmtId="175" fontId="53" fillId="33" borderId="0" xfId="0" applyNumberFormat="1" applyFont="1" applyFill="1" applyAlignment="1">
      <alignment horizontal="center" vertical="center"/>
    </xf>
    <xf numFmtId="173" fontId="3" fillId="0" borderId="0" xfId="0" applyNumberFormat="1" applyFont="1" applyFill="1" applyBorder="1" applyAlignment="1">
      <alignment horizontal="center" vertical="center" wrapText="1"/>
    </xf>
    <xf numFmtId="173" fontId="0" fillId="0" borderId="0" xfId="0" applyNumberFormat="1" applyFont="1" applyFill="1" applyBorder="1" applyAlignment="1">
      <alignment/>
    </xf>
    <xf numFmtId="173" fontId="1" fillId="0" borderId="0" xfId="0" applyNumberFormat="1" applyFont="1" applyFill="1" applyAlignment="1">
      <alignment/>
    </xf>
    <xf numFmtId="173" fontId="5" fillId="0" borderId="0" xfId="0" applyNumberFormat="1" applyFont="1" applyFill="1" applyBorder="1" applyAlignment="1">
      <alignment horizontal="right" vertical="center" wrapText="1"/>
    </xf>
    <xf numFmtId="173" fontId="1" fillId="0" borderId="0" xfId="0" applyNumberFormat="1" applyFont="1" applyFill="1" applyAlignment="1">
      <alignment horizontal="right" vertical="center" wrapText="1"/>
    </xf>
    <xf numFmtId="173" fontId="0" fillId="0" borderId="0" xfId="0" applyNumberFormat="1" applyFont="1" applyFill="1" applyAlignment="1">
      <alignment/>
    </xf>
    <xf numFmtId="185" fontId="54" fillId="34" borderId="0" xfId="0" applyNumberFormat="1" applyFont="1" applyFill="1" applyAlignment="1">
      <alignment horizontal="center" vertical="center"/>
    </xf>
    <xf numFmtId="188" fontId="0" fillId="33" borderId="0" xfId="0" applyNumberFormat="1" applyFont="1" applyFill="1" applyAlignment="1">
      <alignment horizontal="center" vertical="center"/>
    </xf>
    <xf numFmtId="186" fontId="53" fillId="34" borderId="0" xfId="0" applyNumberFormat="1" applyFont="1" applyFill="1" applyAlignment="1">
      <alignment horizontal="center" vertical="center"/>
    </xf>
    <xf numFmtId="172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172" fontId="5" fillId="0" borderId="10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172" fontId="1" fillId="0" borderId="0" xfId="0" applyNumberFormat="1" applyFont="1" applyFill="1" applyAlignment="1">
      <alignment/>
    </xf>
    <xf numFmtId="172" fontId="5" fillId="0" borderId="0" xfId="0" applyNumberFormat="1" applyFont="1" applyFill="1" applyBorder="1" applyAlignment="1">
      <alignment horizontal="right" vertical="center" wrapText="1"/>
    </xf>
    <xf numFmtId="172" fontId="1" fillId="0" borderId="0" xfId="0" applyNumberFormat="1" applyFont="1" applyFill="1" applyAlignment="1">
      <alignment horizontal="right" vertical="center" wrapText="1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5" fillId="33" borderId="14" xfId="0" applyFont="1" applyFill="1" applyBorder="1" applyAlignment="1">
      <alignment vertical="center" wrapText="1"/>
    </xf>
    <xf numFmtId="173" fontId="8" fillId="33" borderId="10" xfId="0" applyNumberFormat="1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186" fontId="55" fillId="34" borderId="0" xfId="0" applyNumberFormat="1" applyFont="1" applyFill="1" applyAlignment="1">
      <alignment horizontal="center" vertical="center"/>
    </xf>
    <xf numFmtId="186" fontId="5" fillId="33" borderId="0" xfId="0" applyNumberFormat="1" applyFont="1" applyFill="1" applyBorder="1" applyAlignment="1">
      <alignment horizontal="center" vertical="center"/>
    </xf>
    <xf numFmtId="186" fontId="5" fillId="33" borderId="0" xfId="0" applyNumberFormat="1" applyFont="1" applyFill="1" applyAlignment="1">
      <alignment horizontal="center" vertical="center"/>
    </xf>
    <xf numFmtId="186" fontId="55" fillId="33" borderId="0" xfId="0" applyNumberFormat="1" applyFont="1" applyFill="1" applyAlignment="1">
      <alignment horizontal="center" vertical="center"/>
    </xf>
    <xf numFmtId="186" fontId="5" fillId="33" borderId="0" xfId="0" applyNumberFormat="1" applyFont="1" applyFill="1" applyBorder="1" applyAlignment="1">
      <alignment horizontal="center" vertical="center" wrapText="1"/>
    </xf>
    <xf numFmtId="186" fontId="8" fillId="33" borderId="0" xfId="0" applyNumberFormat="1" applyFont="1" applyFill="1" applyBorder="1" applyAlignment="1">
      <alignment horizontal="center" vertical="center" wrapText="1"/>
    </xf>
    <xf numFmtId="173" fontId="5" fillId="33" borderId="14" xfId="0" applyNumberFormat="1" applyFont="1" applyFill="1" applyBorder="1" applyAlignment="1">
      <alignment horizontal="center" vertical="center" wrapText="1"/>
    </xf>
    <xf numFmtId="173" fontId="5" fillId="35" borderId="10" xfId="0" applyNumberFormat="1" applyFont="1" applyFill="1" applyBorder="1" applyAlignment="1">
      <alignment horizontal="center" vertical="center" wrapText="1"/>
    </xf>
    <xf numFmtId="173" fontId="5" fillId="35" borderId="14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left" vertical="center" wrapText="1"/>
    </xf>
    <xf numFmtId="0" fontId="12" fillId="33" borderId="0" xfId="0" applyFont="1" applyFill="1" applyBorder="1" applyAlignment="1">
      <alignment horizontal="right" vertical="center" wrapText="1"/>
    </xf>
    <xf numFmtId="0" fontId="5" fillId="33" borderId="16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5" fillId="33" borderId="15" xfId="0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13" fillId="33" borderId="11" xfId="0" applyFont="1" applyFill="1" applyBorder="1" applyAlignment="1">
      <alignment horizontal="left" vertical="center" wrapText="1"/>
    </xf>
    <xf numFmtId="0" fontId="13" fillId="33" borderId="15" xfId="0" applyFont="1" applyFill="1" applyBorder="1" applyAlignment="1">
      <alignment horizontal="left" vertical="center" wrapText="1"/>
    </xf>
    <xf numFmtId="0" fontId="8" fillId="33" borderId="16" xfId="0" applyFont="1" applyFill="1" applyBorder="1" applyAlignment="1">
      <alignment horizontal="left" vertical="center" wrapText="1"/>
    </xf>
    <xf numFmtId="0" fontId="8" fillId="33" borderId="12" xfId="0" applyFont="1" applyFill="1" applyBorder="1" applyAlignment="1">
      <alignment horizontal="left" vertical="center" wrapText="1"/>
    </xf>
    <xf numFmtId="0" fontId="1" fillId="33" borderId="0" xfId="0" applyFont="1" applyFill="1" applyAlignment="1">
      <alignment horizontal="left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left" vertical="center" wrapText="1"/>
    </xf>
    <xf numFmtId="0" fontId="5" fillId="33" borderId="17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13" fillId="33" borderId="14" xfId="0" applyFont="1" applyFill="1" applyBorder="1" applyAlignment="1">
      <alignment horizontal="left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172" fontId="9" fillId="33" borderId="0" xfId="0" applyNumberFormat="1" applyFont="1" applyFill="1" applyBorder="1" applyAlignment="1">
      <alignment horizontal="right" vertical="center" wrapText="1"/>
    </xf>
    <xf numFmtId="172" fontId="5" fillId="33" borderId="10" xfId="0" applyNumberFormat="1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left" vertical="center" wrapText="1"/>
    </xf>
    <xf numFmtId="0" fontId="8" fillId="33" borderId="18" xfId="0" applyFont="1" applyFill="1" applyBorder="1" applyAlignment="1">
      <alignment horizontal="left" vertical="center" wrapText="1"/>
    </xf>
    <xf numFmtId="0" fontId="8" fillId="33" borderId="19" xfId="0" applyFont="1" applyFill="1" applyBorder="1" applyAlignment="1">
      <alignment horizontal="left" vertical="center" wrapText="1"/>
    </xf>
    <xf numFmtId="0" fontId="8" fillId="33" borderId="20" xfId="0" applyFont="1" applyFill="1" applyBorder="1" applyAlignment="1">
      <alignment horizontal="left" vertical="center" wrapText="1"/>
    </xf>
    <xf numFmtId="0" fontId="8" fillId="33" borderId="21" xfId="0" applyFont="1" applyFill="1" applyBorder="1" applyAlignment="1">
      <alignment horizontal="left" vertical="center" wrapText="1"/>
    </xf>
    <xf numFmtId="0" fontId="8" fillId="33" borderId="22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AD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N302"/>
  <sheetViews>
    <sheetView tabSelected="1" view="pageBreakPreview" zoomScale="90" zoomScaleSheetLayoutView="90" zoomScalePageLayoutView="90" workbookViewId="0" topLeftCell="A1">
      <pane ySplit="10" topLeftCell="A164" activePane="bottomLeft" state="frozen"/>
      <selection pane="topLeft" activeCell="A1" sqref="A1"/>
      <selection pane="bottomLeft" activeCell="M175" sqref="M175"/>
    </sheetView>
  </sheetViews>
  <sheetFormatPr defaultColWidth="10.66015625" defaultRowHeight="11.25" outlineLevelRow="2"/>
  <cols>
    <col min="1" max="1" width="34.83203125" style="3" customWidth="1"/>
    <col min="2" max="2" width="50.5" style="15" customWidth="1"/>
    <col min="3" max="3" width="13.66015625" style="9" customWidth="1"/>
    <col min="4" max="4" width="19.5" style="65" customWidth="1"/>
    <col min="5" max="5" width="19" style="57" customWidth="1"/>
    <col min="6" max="6" width="20.66015625" style="52" customWidth="1"/>
    <col min="7" max="7" width="17.83203125" style="9" customWidth="1"/>
    <col min="8" max="8" width="20.33203125" style="9" customWidth="1"/>
    <col min="9" max="9" width="16.33203125" style="35" customWidth="1"/>
    <col min="10" max="10" width="16.33203125" style="79" customWidth="1"/>
    <col min="11" max="11" width="14.16015625" style="36" customWidth="1"/>
    <col min="12" max="12" width="16.66015625" style="9" bestFit="1" customWidth="1"/>
    <col min="13" max="13" width="12.83203125" style="9" customWidth="1"/>
    <col min="14" max="14" width="14" style="9" customWidth="1"/>
    <col min="15" max="15" width="12.16015625" style="9" customWidth="1"/>
    <col min="16" max="16384" width="10.66015625" style="9" customWidth="1"/>
  </cols>
  <sheetData>
    <row r="1" spans="1:11" s="2" customFormat="1" ht="9" customHeight="1">
      <c r="A1" s="93" t="s">
        <v>85</v>
      </c>
      <c r="B1" s="93"/>
      <c r="C1" s="93"/>
      <c r="D1" s="93"/>
      <c r="E1" s="93"/>
      <c r="F1" s="93"/>
      <c r="G1" s="93"/>
      <c r="H1" s="93"/>
      <c r="I1" s="33"/>
      <c r="J1" s="78"/>
      <c r="K1" s="34"/>
    </row>
    <row r="2" spans="1:11" s="2" customFormat="1" ht="9" customHeight="1">
      <c r="A2" s="93"/>
      <c r="B2" s="93"/>
      <c r="C2" s="93"/>
      <c r="D2" s="93"/>
      <c r="E2" s="93"/>
      <c r="F2" s="93"/>
      <c r="G2" s="93"/>
      <c r="H2" s="93"/>
      <c r="I2" s="33"/>
      <c r="J2" s="78"/>
      <c r="K2" s="34"/>
    </row>
    <row r="3" spans="1:11" s="2" customFormat="1" ht="39" customHeight="1" outlineLevel="1">
      <c r="A3" s="3"/>
      <c r="B3" s="4"/>
      <c r="C3" s="5"/>
      <c r="D3" s="120" t="s">
        <v>51</v>
      </c>
      <c r="E3" s="120"/>
      <c r="F3" s="120"/>
      <c r="G3" s="120"/>
      <c r="H3" s="120"/>
      <c r="I3" s="33"/>
      <c r="J3" s="78"/>
      <c r="K3" s="34"/>
    </row>
    <row r="4" spans="1:11" s="2" customFormat="1" ht="14.25" customHeight="1" outlineLevel="1">
      <c r="A4" s="3"/>
      <c r="B4" s="6"/>
      <c r="C4" s="5"/>
      <c r="D4" s="31"/>
      <c r="E4" s="56"/>
      <c r="F4" s="47"/>
      <c r="G4" s="7"/>
      <c r="H4" s="7"/>
      <c r="I4" s="33"/>
      <c r="J4" s="78"/>
      <c r="K4" s="34"/>
    </row>
    <row r="5" spans="1:11" s="2" customFormat="1" ht="38.25" customHeight="1" outlineLevel="1">
      <c r="A5" s="128" t="s">
        <v>12</v>
      </c>
      <c r="B5" s="128"/>
      <c r="C5" s="128"/>
      <c r="D5" s="128"/>
      <c r="E5" s="128"/>
      <c r="F5" s="128"/>
      <c r="G5" s="128"/>
      <c r="H5" s="128"/>
      <c r="I5" s="33"/>
      <c r="J5" s="78"/>
      <c r="K5" s="34"/>
    </row>
    <row r="6" spans="2:11" s="2" customFormat="1" ht="14.25" customHeight="1" outlineLevel="1">
      <c r="B6" s="6"/>
      <c r="D6" s="57"/>
      <c r="E6" s="57"/>
      <c r="F6" s="48"/>
      <c r="I6" s="33"/>
      <c r="J6" s="78"/>
      <c r="K6" s="34"/>
    </row>
    <row r="7" spans="1:8" ht="19.5" customHeight="1">
      <c r="A7" s="112" t="s">
        <v>50</v>
      </c>
      <c r="B7" s="87" t="s">
        <v>31</v>
      </c>
      <c r="C7" s="112" t="s">
        <v>89</v>
      </c>
      <c r="D7" s="121" t="s">
        <v>1</v>
      </c>
      <c r="E7" s="121"/>
      <c r="F7" s="121"/>
      <c r="G7" s="121"/>
      <c r="H7" s="121"/>
    </row>
    <row r="8" spans="1:8" ht="65.25" customHeight="1">
      <c r="A8" s="112"/>
      <c r="B8" s="89"/>
      <c r="C8" s="112"/>
      <c r="D8" s="58" t="s">
        <v>2</v>
      </c>
      <c r="E8" s="58" t="s">
        <v>3</v>
      </c>
      <c r="F8" s="30" t="s">
        <v>4</v>
      </c>
      <c r="G8" s="29" t="s">
        <v>5</v>
      </c>
      <c r="H8" s="10" t="s">
        <v>46</v>
      </c>
    </row>
    <row r="9" spans="1:8" ht="12.75" customHeight="1">
      <c r="A9" s="28">
        <v>1</v>
      </c>
      <c r="B9" s="28">
        <v>2</v>
      </c>
      <c r="C9" s="28">
        <v>5</v>
      </c>
      <c r="D9" s="59">
        <v>6</v>
      </c>
      <c r="E9" s="59">
        <v>7</v>
      </c>
      <c r="F9" s="30">
        <v>8</v>
      </c>
      <c r="G9" s="11">
        <v>9</v>
      </c>
      <c r="H9" s="11">
        <v>10</v>
      </c>
    </row>
    <row r="10" spans="1:11" ht="22.5" customHeight="1">
      <c r="A10" s="116" t="s">
        <v>0</v>
      </c>
      <c r="B10" s="117"/>
      <c r="C10" s="117"/>
      <c r="D10" s="117"/>
      <c r="E10" s="117"/>
      <c r="F10" s="117"/>
      <c r="G10" s="117"/>
      <c r="H10" s="118"/>
      <c r="I10" s="46">
        <f>I51+I67+I107+I150+I206+I222+I256</f>
        <v>176528.57843000002</v>
      </c>
      <c r="J10" s="80">
        <f>J51+J67+J107+J150+J206+J222+J256</f>
        <v>176528.57843</v>
      </c>
      <c r="K10" s="54">
        <f>J10-I10</f>
        <v>0</v>
      </c>
    </row>
    <row r="11" spans="1:11" ht="21" customHeight="1">
      <c r="A11" s="122" t="s">
        <v>88</v>
      </c>
      <c r="B11" s="123"/>
      <c r="C11" s="74">
        <v>2018</v>
      </c>
      <c r="D11" s="67">
        <f>E11+F11+G11+H11</f>
        <v>6835281.59087</v>
      </c>
      <c r="E11" s="67">
        <f>E19+E28+E49+E65+E105+E149+E177+E204+E220</f>
        <v>1426043.175</v>
      </c>
      <c r="F11" s="67">
        <f>F19+F28+F49+F65+F105+F148+F177+F204+F220</f>
        <v>5069947.71387</v>
      </c>
      <c r="G11" s="67">
        <f>G19+G28+G49+G65+G105+G149+G177+G204+G220</f>
        <v>45446.598</v>
      </c>
      <c r="H11" s="67">
        <f>H19+H28+H49+H65+H105+H149+H177+H204+H220</f>
        <v>293844.104</v>
      </c>
      <c r="I11" s="45"/>
      <c r="K11" s="45"/>
    </row>
    <row r="12" spans="1:11" ht="21" customHeight="1">
      <c r="A12" s="124"/>
      <c r="B12" s="125"/>
      <c r="C12" s="74">
        <v>2019</v>
      </c>
      <c r="D12" s="67">
        <f aca="true" t="shared" si="0" ref="D12:D40">E12+F12+G12+H12</f>
        <v>7041860.587190001</v>
      </c>
      <c r="E12" s="67">
        <f>E20+E29+E50+E66+E106+E150+E178+E205+E221</f>
        <v>1129970.2</v>
      </c>
      <c r="F12" s="67">
        <f>F20+F29+F50+F66+F106+F149+F178+F205+F221</f>
        <v>5547008.530110001</v>
      </c>
      <c r="G12" s="67">
        <f>G20+G29+G50+G66+G106+G149+G178+G205+G221</f>
        <v>51545.78308</v>
      </c>
      <c r="H12" s="67">
        <f>H20+H29+H50+H66+H106+H149+H178+H205+H221</f>
        <v>313336.074</v>
      </c>
      <c r="I12" s="45"/>
      <c r="K12" s="44"/>
    </row>
    <row r="13" spans="1:11" ht="21" customHeight="1">
      <c r="A13" s="124"/>
      <c r="B13" s="125"/>
      <c r="C13" s="74">
        <v>2020</v>
      </c>
      <c r="D13" s="67">
        <f t="shared" si="0"/>
        <v>5739882.434789999</v>
      </c>
      <c r="E13" s="67">
        <f>+E51+E67+E107+E151+E206+E222+E256</f>
        <v>888941.1</v>
      </c>
      <c r="F13" s="67">
        <f>F51+F67+F107+F150+F206+F222+F256</f>
        <v>4641235.62479</v>
      </c>
      <c r="G13" s="67">
        <f>G51+G67+G107+G150+G206+G222+G256</f>
        <v>0</v>
      </c>
      <c r="H13" s="67">
        <f>H51+H67+H107+H150+H206+H222+H256</f>
        <v>209705.71</v>
      </c>
      <c r="I13" s="46">
        <f>I51+I67+I107+I150+I206+I222+I256</f>
        <v>176528.57843000002</v>
      </c>
      <c r="J13" s="80">
        <f>J51+J67+J107+J150+J206+J222+J256</f>
        <v>176528.57843</v>
      </c>
      <c r="K13" s="44">
        <f>J13-I13</f>
        <v>0</v>
      </c>
    </row>
    <row r="14" spans="1:8" ht="21" customHeight="1">
      <c r="A14" s="124"/>
      <c r="B14" s="125"/>
      <c r="C14" s="74">
        <v>2021</v>
      </c>
      <c r="D14" s="67">
        <f t="shared" si="0"/>
        <v>5423092.48</v>
      </c>
      <c r="E14" s="67">
        <f>+E52+E68+E108+E152+E207+E223+E257</f>
        <v>841285.8</v>
      </c>
      <c r="F14" s="67">
        <f aca="true" t="shared" si="1" ref="F14:H17">F52+F68+F108+F151+F207+F223+F257</f>
        <v>4384307.970000001</v>
      </c>
      <c r="G14" s="67">
        <f t="shared" si="1"/>
        <v>0</v>
      </c>
      <c r="H14" s="67">
        <f t="shared" si="1"/>
        <v>197498.71</v>
      </c>
    </row>
    <row r="15" spans="1:8" ht="21" customHeight="1">
      <c r="A15" s="124"/>
      <c r="B15" s="125"/>
      <c r="C15" s="74">
        <v>2022</v>
      </c>
      <c r="D15" s="67">
        <f t="shared" si="0"/>
        <v>5436852.145999999</v>
      </c>
      <c r="E15" s="67">
        <f>+E53+E69+E109+E153+E208+E224+E258</f>
        <v>843176.6</v>
      </c>
      <c r="F15" s="67">
        <f t="shared" si="1"/>
        <v>4396176.835999999</v>
      </c>
      <c r="G15" s="67">
        <f t="shared" si="1"/>
        <v>0</v>
      </c>
      <c r="H15" s="67">
        <f t="shared" si="1"/>
        <v>197498.71</v>
      </c>
    </row>
    <row r="16" spans="1:8" ht="21" customHeight="1">
      <c r="A16" s="124"/>
      <c r="B16" s="125"/>
      <c r="C16" s="74">
        <v>2023</v>
      </c>
      <c r="D16" s="67">
        <f t="shared" si="0"/>
        <v>4511129.044</v>
      </c>
      <c r="E16" s="67">
        <f>+E54+E70+E110+E154+E209+E225+E259</f>
        <v>0</v>
      </c>
      <c r="F16" s="67">
        <f t="shared" si="1"/>
        <v>4306229.044</v>
      </c>
      <c r="G16" s="67">
        <f t="shared" si="1"/>
        <v>0</v>
      </c>
      <c r="H16" s="67">
        <f t="shared" si="1"/>
        <v>204900</v>
      </c>
    </row>
    <row r="17" spans="1:8" ht="21" customHeight="1">
      <c r="A17" s="126"/>
      <c r="B17" s="127"/>
      <c r="C17" s="74">
        <v>2024</v>
      </c>
      <c r="D17" s="67">
        <f t="shared" si="0"/>
        <v>4604549.044</v>
      </c>
      <c r="E17" s="67">
        <f>+E55+E71+E111+E155+E210+E226+E260</f>
        <v>0</v>
      </c>
      <c r="F17" s="67">
        <f t="shared" si="1"/>
        <v>4392929.044</v>
      </c>
      <c r="G17" s="67">
        <f t="shared" si="1"/>
        <v>0</v>
      </c>
      <c r="H17" s="67">
        <f t="shared" si="1"/>
        <v>211620</v>
      </c>
    </row>
    <row r="18" spans="1:8" ht="21" customHeight="1">
      <c r="A18" s="104" t="s">
        <v>6</v>
      </c>
      <c r="B18" s="105"/>
      <c r="C18" s="74" t="s">
        <v>14</v>
      </c>
      <c r="D18" s="67">
        <f>SUM(D11:D17)</f>
        <v>39592647.32685</v>
      </c>
      <c r="E18" s="67">
        <f>SUM(E11:E17)</f>
        <v>5129416.875</v>
      </c>
      <c r="F18" s="67">
        <f>SUM(F11:F17)</f>
        <v>32737834.76277</v>
      </c>
      <c r="G18" s="67">
        <f>SUM(G11:G17)</f>
        <v>96992.38107999999</v>
      </c>
      <c r="H18" s="67">
        <f>SUM(H11:H17)</f>
        <v>1628403.308</v>
      </c>
    </row>
    <row r="19" spans="1:8" ht="26.25" customHeight="1" outlineLevel="1">
      <c r="A19" s="100" t="s">
        <v>33</v>
      </c>
      <c r="B19" s="102" t="s">
        <v>40</v>
      </c>
      <c r="C19" s="74">
        <v>2018</v>
      </c>
      <c r="D19" s="67">
        <f t="shared" si="0"/>
        <v>751425.98776</v>
      </c>
      <c r="E19" s="67">
        <f>E22+E25</f>
        <v>97220.8</v>
      </c>
      <c r="F19" s="67">
        <f>F22+F25</f>
        <v>654205.18776</v>
      </c>
      <c r="G19" s="67"/>
      <c r="H19" s="67"/>
    </row>
    <row r="20" spans="1:8" ht="28.5" customHeight="1" outlineLevel="1">
      <c r="A20" s="101"/>
      <c r="B20" s="103"/>
      <c r="C20" s="74">
        <v>2019</v>
      </c>
      <c r="D20" s="67">
        <f t="shared" si="0"/>
        <v>707757.796</v>
      </c>
      <c r="E20" s="67">
        <f>E23+E26</f>
        <v>63717.9</v>
      </c>
      <c r="F20" s="67">
        <f>F23+F26</f>
        <v>644039.896</v>
      </c>
      <c r="G20" s="67"/>
      <c r="H20" s="67"/>
    </row>
    <row r="21" spans="1:8" ht="21" customHeight="1" outlineLevel="1">
      <c r="A21" s="104" t="s">
        <v>6</v>
      </c>
      <c r="B21" s="105"/>
      <c r="C21" s="74" t="s">
        <v>69</v>
      </c>
      <c r="D21" s="67">
        <f>E21+F21+G21+H21</f>
        <v>1459183.7837599998</v>
      </c>
      <c r="E21" s="67">
        <f>SUM(E19:E20)</f>
        <v>160938.7</v>
      </c>
      <c r="F21" s="67">
        <f>SUM(F19:F20)</f>
        <v>1298245.0837599998</v>
      </c>
      <c r="G21" s="67">
        <f>SUM(G19:G20)</f>
        <v>0</v>
      </c>
      <c r="H21" s="67">
        <f>SUM(H19:H20)</f>
        <v>0</v>
      </c>
    </row>
    <row r="22" spans="1:8" ht="23.25" customHeight="1" outlineLevel="2">
      <c r="A22" s="87" t="s">
        <v>16</v>
      </c>
      <c r="B22" s="90" t="s">
        <v>40</v>
      </c>
      <c r="C22" s="73">
        <v>2018</v>
      </c>
      <c r="D22" s="13">
        <f t="shared" si="0"/>
        <v>35000</v>
      </c>
      <c r="E22" s="13"/>
      <c r="F22" s="13">
        <v>35000</v>
      </c>
      <c r="G22" s="13"/>
      <c r="H22" s="13"/>
    </row>
    <row r="23" spans="1:8" ht="31.5" customHeight="1" outlineLevel="2">
      <c r="A23" s="89"/>
      <c r="B23" s="92"/>
      <c r="C23" s="73">
        <v>2019</v>
      </c>
      <c r="D23" s="13">
        <f t="shared" si="0"/>
        <v>49272</v>
      </c>
      <c r="E23" s="13"/>
      <c r="F23" s="13">
        <v>49272</v>
      </c>
      <c r="G23" s="13"/>
      <c r="H23" s="13"/>
    </row>
    <row r="24" spans="1:8" ht="21" customHeight="1" outlineLevel="2">
      <c r="A24" s="94" t="s">
        <v>6</v>
      </c>
      <c r="B24" s="95"/>
      <c r="C24" s="73" t="s">
        <v>69</v>
      </c>
      <c r="D24" s="13">
        <f t="shared" si="0"/>
        <v>84272</v>
      </c>
      <c r="E24" s="13">
        <f>SUM(E22:E23)</f>
        <v>0</v>
      </c>
      <c r="F24" s="13">
        <f>SUM(F22:F23)</f>
        <v>84272</v>
      </c>
      <c r="G24" s="13">
        <f>SUM(G22:G23)</f>
        <v>0</v>
      </c>
      <c r="H24" s="13">
        <f>SUM(H22:H23)</f>
        <v>0</v>
      </c>
    </row>
    <row r="25" spans="1:8" ht="36.75" customHeight="1" outlineLevel="2">
      <c r="A25" s="87" t="s">
        <v>70</v>
      </c>
      <c r="B25" s="90" t="s">
        <v>40</v>
      </c>
      <c r="C25" s="73">
        <v>2018</v>
      </c>
      <c r="D25" s="13">
        <f t="shared" si="0"/>
        <v>716425.98776</v>
      </c>
      <c r="E25" s="13">
        <v>97220.8</v>
      </c>
      <c r="F25" s="13">
        <v>619205.18776</v>
      </c>
      <c r="G25" s="13"/>
      <c r="H25" s="13"/>
    </row>
    <row r="26" spans="1:8" ht="45.75" customHeight="1" outlineLevel="2">
      <c r="A26" s="89"/>
      <c r="B26" s="92"/>
      <c r="C26" s="73">
        <v>2019</v>
      </c>
      <c r="D26" s="13">
        <f t="shared" si="0"/>
        <v>658485.796</v>
      </c>
      <c r="E26" s="13">
        <v>63717.9</v>
      </c>
      <c r="F26" s="13">
        <f>597999.25198-3231.35598</f>
        <v>594767.896</v>
      </c>
      <c r="G26" s="13"/>
      <c r="H26" s="13"/>
    </row>
    <row r="27" spans="1:8" ht="21" customHeight="1" outlineLevel="2">
      <c r="A27" s="94" t="s">
        <v>6</v>
      </c>
      <c r="B27" s="95"/>
      <c r="C27" s="73" t="s">
        <v>69</v>
      </c>
      <c r="D27" s="13">
        <f t="shared" si="0"/>
        <v>1374911.7837599998</v>
      </c>
      <c r="E27" s="13">
        <f>SUM(E25:E26)</f>
        <v>160938.7</v>
      </c>
      <c r="F27" s="13">
        <f>SUM(F25:F26)</f>
        <v>1213973.0837599998</v>
      </c>
      <c r="G27" s="13">
        <f>SUM(G25:G26)</f>
        <v>0</v>
      </c>
      <c r="H27" s="13">
        <f>SUM(H25:H26)</f>
        <v>0</v>
      </c>
    </row>
    <row r="28" spans="1:8" ht="26.25" customHeight="1" outlineLevel="1">
      <c r="A28" s="100" t="s">
        <v>17</v>
      </c>
      <c r="B28" s="102" t="s">
        <v>40</v>
      </c>
      <c r="C28" s="74">
        <v>2018</v>
      </c>
      <c r="D28" s="67">
        <f t="shared" si="0"/>
        <v>888257.88868</v>
      </c>
      <c r="E28" s="67">
        <f>SUM(E31+E34+E37+E40+E43+E46)</f>
        <v>173741.1</v>
      </c>
      <c r="F28" s="67">
        <f>SUM(F31+F34+F37+F40+F43+F46)</f>
        <v>714516.78868</v>
      </c>
      <c r="G28" s="67"/>
      <c r="H28" s="67"/>
    </row>
    <row r="29" spans="1:8" ht="27.75" customHeight="1" outlineLevel="1">
      <c r="A29" s="101"/>
      <c r="B29" s="103"/>
      <c r="C29" s="74">
        <v>2019</v>
      </c>
      <c r="D29" s="67">
        <f t="shared" si="0"/>
        <v>1365690.58408</v>
      </c>
      <c r="E29" s="67">
        <f>SUM(E32+E35+E38+E41+E44+E47)</f>
        <v>192539.7</v>
      </c>
      <c r="F29" s="67">
        <f>SUM(F32+F35+F38+F41+F44+F47)</f>
        <v>1173150.88408</v>
      </c>
      <c r="G29" s="67"/>
      <c r="H29" s="67"/>
    </row>
    <row r="30" spans="1:8" ht="21" customHeight="1" outlineLevel="1">
      <c r="A30" s="75" t="s">
        <v>6</v>
      </c>
      <c r="B30" s="76"/>
      <c r="C30" s="74" t="s">
        <v>69</v>
      </c>
      <c r="D30" s="67">
        <f t="shared" si="0"/>
        <v>2253948.4727600003</v>
      </c>
      <c r="E30" s="67">
        <f>SUM(E28:E29)</f>
        <v>366280.80000000005</v>
      </c>
      <c r="F30" s="67">
        <f>SUM(F28:F29)</f>
        <v>1887667.67276</v>
      </c>
      <c r="G30" s="67">
        <f>SUM(G28:G29)</f>
        <v>0</v>
      </c>
      <c r="H30" s="67">
        <f>SUM(H28:H29)</f>
        <v>0</v>
      </c>
    </row>
    <row r="31" spans="1:8" ht="26.25" customHeight="1" outlineLevel="2">
      <c r="A31" s="87" t="s">
        <v>18</v>
      </c>
      <c r="B31" s="90" t="s">
        <v>40</v>
      </c>
      <c r="C31" s="73">
        <v>2018</v>
      </c>
      <c r="D31" s="13">
        <f t="shared" si="0"/>
        <v>593741.1</v>
      </c>
      <c r="E31" s="13">
        <v>173741.1</v>
      </c>
      <c r="F31" s="13">
        <v>420000</v>
      </c>
      <c r="G31" s="13"/>
      <c r="H31" s="13"/>
    </row>
    <row r="32" spans="1:8" ht="26.25" customHeight="1" outlineLevel="2">
      <c r="A32" s="89"/>
      <c r="B32" s="92"/>
      <c r="C32" s="73">
        <v>2019</v>
      </c>
      <c r="D32" s="13">
        <f t="shared" si="0"/>
        <v>718794.3241600001</v>
      </c>
      <c r="E32" s="13">
        <v>192539.7</v>
      </c>
      <c r="F32" s="13">
        <v>526254.62416</v>
      </c>
      <c r="G32" s="13"/>
      <c r="H32" s="13"/>
    </row>
    <row r="33" spans="1:8" ht="21" customHeight="1" outlineLevel="2">
      <c r="A33" s="14" t="s">
        <v>6</v>
      </c>
      <c r="B33" s="69"/>
      <c r="C33" s="73" t="s">
        <v>69</v>
      </c>
      <c r="D33" s="13">
        <f t="shared" si="0"/>
        <v>1312535.42416</v>
      </c>
      <c r="E33" s="13">
        <f>SUM(E31:E32)</f>
        <v>366280.80000000005</v>
      </c>
      <c r="F33" s="13">
        <f>SUM(F31:F32)</f>
        <v>946254.62416</v>
      </c>
      <c r="G33" s="13">
        <f>SUM(G31:G32)</f>
        <v>0</v>
      </c>
      <c r="H33" s="13">
        <f>SUM(H31:H32)</f>
        <v>0</v>
      </c>
    </row>
    <row r="34" spans="1:8" ht="35.25" customHeight="1" outlineLevel="2">
      <c r="A34" s="87" t="s">
        <v>19</v>
      </c>
      <c r="B34" s="90" t="s">
        <v>41</v>
      </c>
      <c r="C34" s="73">
        <v>2018</v>
      </c>
      <c r="D34" s="13">
        <f t="shared" si="0"/>
        <v>163657.17381</v>
      </c>
      <c r="E34" s="13"/>
      <c r="F34" s="13">
        <v>163657.17381</v>
      </c>
      <c r="G34" s="13"/>
      <c r="H34" s="13"/>
    </row>
    <row r="35" spans="1:8" ht="30.75" customHeight="1" outlineLevel="2">
      <c r="A35" s="89"/>
      <c r="B35" s="92"/>
      <c r="C35" s="73">
        <v>2019</v>
      </c>
      <c r="D35" s="13">
        <f t="shared" si="0"/>
        <v>181451</v>
      </c>
      <c r="E35" s="13"/>
      <c r="F35" s="13">
        <v>181451</v>
      </c>
      <c r="G35" s="13"/>
      <c r="H35" s="13"/>
    </row>
    <row r="36" spans="1:8" ht="21" customHeight="1" outlineLevel="2">
      <c r="A36" s="14" t="s">
        <v>6</v>
      </c>
      <c r="B36" s="69"/>
      <c r="C36" s="73" t="s">
        <v>69</v>
      </c>
      <c r="D36" s="13">
        <f t="shared" si="0"/>
        <v>345108.17381</v>
      </c>
      <c r="E36" s="13">
        <f>SUM(E34:E35)</f>
        <v>0</v>
      </c>
      <c r="F36" s="13">
        <f>SUM(F34:F35)</f>
        <v>345108.17381</v>
      </c>
      <c r="G36" s="13">
        <f>SUM(G34:G35)</f>
        <v>0</v>
      </c>
      <c r="H36" s="13">
        <f>SUM(H34:H35)</f>
        <v>0</v>
      </c>
    </row>
    <row r="37" spans="1:8" ht="30" customHeight="1" outlineLevel="2">
      <c r="A37" s="87" t="s">
        <v>20</v>
      </c>
      <c r="B37" s="107" t="s">
        <v>40</v>
      </c>
      <c r="C37" s="73">
        <v>2018</v>
      </c>
      <c r="D37" s="13">
        <f t="shared" si="0"/>
        <v>600.00087</v>
      </c>
      <c r="E37" s="13"/>
      <c r="F37" s="13">
        <v>600.00087</v>
      </c>
      <c r="G37" s="13"/>
      <c r="H37" s="13"/>
    </row>
    <row r="38" spans="1:13" ht="32.25" customHeight="1" outlineLevel="2">
      <c r="A38" s="89"/>
      <c r="B38" s="109"/>
      <c r="C38" s="73">
        <v>2019</v>
      </c>
      <c r="D38" s="13">
        <f t="shared" si="0"/>
        <v>1976.1</v>
      </c>
      <c r="E38" s="13"/>
      <c r="F38" s="13">
        <v>1976.1</v>
      </c>
      <c r="G38" s="13"/>
      <c r="H38" s="13"/>
      <c r="M38" s="15"/>
    </row>
    <row r="39" spans="1:8" ht="21" customHeight="1" outlineLevel="2">
      <c r="A39" s="14" t="s">
        <v>6</v>
      </c>
      <c r="B39" s="69"/>
      <c r="C39" s="73" t="s">
        <v>69</v>
      </c>
      <c r="D39" s="13">
        <f t="shared" si="0"/>
        <v>2576.1008699999998</v>
      </c>
      <c r="E39" s="13">
        <f>SUM(E37:E38)</f>
        <v>0</v>
      </c>
      <c r="F39" s="13">
        <f>SUM(F37:F38)</f>
        <v>2576.1008699999998</v>
      </c>
      <c r="G39" s="13">
        <f>SUM(G37:G38)</f>
        <v>0</v>
      </c>
      <c r="H39" s="13">
        <f>SUM(H37:H38)</f>
        <v>0</v>
      </c>
    </row>
    <row r="40" spans="1:8" ht="21" customHeight="1" outlineLevel="2">
      <c r="A40" s="87" t="s">
        <v>71</v>
      </c>
      <c r="B40" s="90" t="s">
        <v>40</v>
      </c>
      <c r="C40" s="73">
        <v>2018</v>
      </c>
      <c r="D40" s="13">
        <f t="shared" si="0"/>
        <v>1100</v>
      </c>
      <c r="E40" s="13"/>
      <c r="F40" s="13">
        <f>1600-500</f>
        <v>1100</v>
      </c>
      <c r="G40" s="13"/>
      <c r="H40" s="13"/>
    </row>
    <row r="41" spans="1:8" ht="51.75" customHeight="1" outlineLevel="2">
      <c r="A41" s="89"/>
      <c r="B41" s="92"/>
      <c r="C41" s="73">
        <v>2019</v>
      </c>
      <c r="D41" s="13">
        <f aca="true" t="shared" si="2" ref="D41:D89">E41+F41+G41+H41</f>
        <v>1100</v>
      </c>
      <c r="E41" s="13"/>
      <c r="F41" s="13">
        <v>1100</v>
      </c>
      <c r="G41" s="13"/>
      <c r="H41" s="13"/>
    </row>
    <row r="42" spans="1:8" ht="21" customHeight="1" outlineLevel="2">
      <c r="A42" s="14" t="s">
        <v>6</v>
      </c>
      <c r="B42" s="69"/>
      <c r="C42" s="73" t="s">
        <v>69</v>
      </c>
      <c r="D42" s="13">
        <f t="shared" si="2"/>
        <v>2200</v>
      </c>
      <c r="E42" s="13">
        <f>SUM(E40:E41)</f>
        <v>0</v>
      </c>
      <c r="F42" s="13">
        <f>SUM(F40:F41)</f>
        <v>2200</v>
      </c>
      <c r="G42" s="13">
        <f>SUM(G40:G41)</f>
        <v>0</v>
      </c>
      <c r="H42" s="13">
        <f>SUM(H40:H41)</f>
        <v>0</v>
      </c>
    </row>
    <row r="43" spans="1:8" ht="29.25" customHeight="1" outlineLevel="2">
      <c r="A43" s="87" t="s">
        <v>21</v>
      </c>
      <c r="B43" s="90" t="s">
        <v>40</v>
      </c>
      <c r="C43" s="73">
        <v>2018</v>
      </c>
      <c r="D43" s="13">
        <f t="shared" si="2"/>
        <v>13000</v>
      </c>
      <c r="E43" s="13"/>
      <c r="F43" s="13">
        <v>13000</v>
      </c>
      <c r="G43" s="13"/>
      <c r="H43" s="13"/>
    </row>
    <row r="44" spans="1:8" ht="29.25" customHeight="1" outlineLevel="2">
      <c r="A44" s="89"/>
      <c r="B44" s="92"/>
      <c r="C44" s="73">
        <v>2019</v>
      </c>
      <c r="D44" s="13">
        <f t="shared" si="2"/>
        <v>13666.9</v>
      </c>
      <c r="E44" s="13"/>
      <c r="F44" s="13">
        <v>13666.9</v>
      </c>
      <c r="G44" s="13"/>
      <c r="H44" s="13"/>
    </row>
    <row r="45" spans="1:8" ht="21" customHeight="1" outlineLevel="2">
      <c r="A45" s="14" t="s">
        <v>6</v>
      </c>
      <c r="B45" s="69"/>
      <c r="C45" s="73" t="s">
        <v>69</v>
      </c>
      <c r="D45" s="13">
        <f t="shared" si="2"/>
        <v>26666.9</v>
      </c>
      <c r="E45" s="13">
        <f>SUM(E43:E44)</f>
        <v>0</v>
      </c>
      <c r="F45" s="13">
        <f>SUM(F43:F44)</f>
        <v>26666.9</v>
      </c>
      <c r="G45" s="13">
        <f>SUM(G43:G44)</f>
        <v>0</v>
      </c>
      <c r="H45" s="13">
        <f>SUM(H43:H44)</f>
        <v>0</v>
      </c>
    </row>
    <row r="46" spans="1:8" ht="29.25" customHeight="1" outlineLevel="2">
      <c r="A46" s="87" t="s">
        <v>13</v>
      </c>
      <c r="B46" s="90" t="s">
        <v>40</v>
      </c>
      <c r="C46" s="73">
        <v>2018</v>
      </c>
      <c r="D46" s="13">
        <f t="shared" si="2"/>
        <v>116159.614</v>
      </c>
      <c r="E46" s="13"/>
      <c r="F46" s="13">
        <f>101734.534+14425.08</f>
        <v>116159.614</v>
      </c>
      <c r="G46" s="13"/>
      <c r="H46" s="13"/>
    </row>
    <row r="47" spans="1:8" ht="27" customHeight="1" outlineLevel="2">
      <c r="A47" s="89"/>
      <c r="B47" s="92"/>
      <c r="C47" s="73">
        <v>2019</v>
      </c>
      <c r="D47" s="13">
        <f t="shared" si="2"/>
        <v>448702.25992</v>
      </c>
      <c r="E47" s="13"/>
      <c r="F47" s="13">
        <v>448702.25992</v>
      </c>
      <c r="G47" s="13"/>
      <c r="H47" s="13"/>
    </row>
    <row r="48" spans="1:8" ht="21" customHeight="1" outlineLevel="2">
      <c r="A48" s="69" t="s">
        <v>7</v>
      </c>
      <c r="B48" s="69"/>
      <c r="C48" s="73" t="s">
        <v>69</v>
      </c>
      <c r="D48" s="13">
        <f t="shared" si="2"/>
        <v>564861.8739199999</v>
      </c>
      <c r="E48" s="13">
        <f>SUM(E46:E47)</f>
        <v>0</v>
      </c>
      <c r="F48" s="13">
        <f>SUM(F46:F47)</f>
        <v>564861.8739199999</v>
      </c>
      <c r="G48" s="13">
        <f>SUM(G46:G47)</f>
        <v>0</v>
      </c>
      <c r="H48" s="13">
        <f>SUM(H46:H47)</f>
        <v>0</v>
      </c>
    </row>
    <row r="49" spans="1:8" ht="21" customHeight="1" outlineLevel="1">
      <c r="A49" s="100" t="s">
        <v>38</v>
      </c>
      <c r="B49" s="102" t="s">
        <v>41</v>
      </c>
      <c r="C49" s="74">
        <v>2018</v>
      </c>
      <c r="D49" s="67">
        <f t="shared" si="2"/>
        <v>11045.964</v>
      </c>
      <c r="E49" s="67"/>
      <c r="F49" s="67">
        <f aca="true" t="shared" si="3" ref="F49:F55">F57</f>
        <v>11045.964</v>
      </c>
      <c r="G49" s="67"/>
      <c r="H49" s="67"/>
    </row>
    <row r="50" spans="1:8" ht="21" customHeight="1" outlineLevel="1">
      <c r="A50" s="119"/>
      <c r="B50" s="115"/>
      <c r="C50" s="74">
        <v>2019</v>
      </c>
      <c r="D50" s="67">
        <f t="shared" si="2"/>
        <v>27000.2</v>
      </c>
      <c r="E50" s="67"/>
      <c r="F50" s="67">
        <f t="shared" si="3"/>
        <v>27000.2</v>
      </c>
      <c r="G50" s="67"/>
      <c r="H50" s="67"/>
    </row>
    <row r="51" spans="1:8" ht="21" customHeight="1" outlineLevel="1">
      <c r="A51" s="119"/>
      <c r="B51" s="115"/>
      <c r="C51" s="74">
        <v>2020</v>
      </c>
      <c r="D51" s="67">
        <f t="shared" si="2"/>
        <v>27000</v>
      </c>
      <c r="E51" s="67"/>
      <c r="F51" s="67">
        <f t="shared" si="3"/>
        <v>27000</v>
      </c>
      <c r="G51" s="67"/>
      <c r="H51" s="67"/>
    </row>
    <row r="52" spans="1:8" ht="21" customHeight="1" outlineLevel="1">
      <c r="A52" s="119"/>
      <c r="B52" s="115"/>
      <c r="C52" s="74">
        <v>2021</v>
      </c>
      <c r="D52" s="67">
        <f t="shared" si="2"/>
        <v>27622</v>
      </c>
      <c r="E52" s="67"/>
      <c r="F52" s="67">
        <f t="shared" si="3"/>
        <v>27622</v>
      </c>
      <c r="G52" s="67"/>
      <c r="H52" s="67"/>
    </row>
    <row r="53" spans="1:8" ht="21" customHeight="1" outlineLevel="1">
      <c r="A53" s="119"/>
      <c r="B53" s="115"/>
      <c r="C53" s="74">
        <v>2022</v>
      </c>
      <c r="D53" s="67">
        <f t="shared" si="2"/>
        <v>27622</v>
      </c>
      <c r="E53" s="67"/>
      <c r="F53" s="67">
        <f t="shared" si="3"/>
        <v>27622</v>
      </c>
      <c r="G53" s="67"/>
      <c r="H53" s="67"/>
    </row>
    <row r="54" spans="1:8" ht="21" customHeight="1" outlineLevel="1">
      <c r="A54" s="119"/>
      <c r="B54" s="115"/>
      <c r="C54" s="74">
        <v>2023</v>
      </c>
      <c r="D54" s="67">
        <f t="shared" si="2"/>
        <v>29000</v>
      </c>
      <c r="E54" s="67"/>
      <c r="F54" s="67">
        <f t="shared" si="3"/>
        <v>29000</v>
      </c>
      <c r="G54" s="67"/>
      <c r="H54" s="67"/>
    </row>
    <row r="55" spans="1:8" ht="21" customHeight="1" outlineLevel="1">
      <c r="A55" s="101"/>
      <c r="B55" s="103"/>
      <c r="C55" s="74">
        <v>2024</v>
      </c>
      <c r="D55" s="67">
        <f t="shared" si="2"/>
        <v>30000</v>
      </c>
      <c r="E55" s="67"/>
      <c r="F55" s="67">
        <f t="shared" si="3"/>
        <v>30000</v>
      </c>
      <c r="G55" s="67"/>
      <c r="H55" s="67"/>
    </row>
    <row r="56" spans="1:8" ht="21" customHeight="1" outlineLevel="1">
      <c r="A56" s="104" t="s">
        <v>6</v>
      </c>
      <c r="B56" s="105"/>
      <c r="C56" s="74" t="s">
        <v>14</v>
      </c>
      <c r="D56" s="67">
        <f t="shared" si="2"/>
        <v>179290.164</v>
      </c>
      <c r="E56" s="67">
        <f>SUM(E49:E51)</f>
        <v>0</v>
      </c>
      <c r="F56" s="67">
        <f>SUM(F49:F55)</f>
        <v>179290.164</v>
      </c>
      <c r="G56" s="67">
        <f>SUM(G49:G51)</f>
        <v>0</v>
      </c>
      <c r="H56" s="67">
        <f>SUM(H49:H51)</f>
        <v>0</v>
      </c>
    </row>
    <row r="57" spans="1:8" ht="21" customHeight="1" outlineLevel="2">
      <c r="A57" s="87" t="s">
        <v>22</v>
      </c>
      <c r="B57" s="90" t="s">
        <v>40</v>
      </c>
      <c r="C57" s="73">
        <v>2018</v>
      </c>
      <c r="D57" s="13">
        <f t="shared" si="2"/>
        <v>11045.964</v>
      </c>
      <c r="E57" s="13"/>
      <c r="F57" s="13">
        <f>25830-14784.036</f>
        <v>11045.964</v>
      </c>
      <c r="G57" s="13"/>
      <c r="H57" s="13"/>
    </row>
    <row r="58" spans="1:8" ht="21" customHeight="1" outlineLevel="2">
      <c r="A58" s="88"/>
      <c r="B58" s="91"/>
      <c r="C58" s="73">
        <v>2019</v>
      </c>
      <c r="D58" s="13">
        <f t="shared" si="2"/>
        <v>27000.2</v>
      </c>
      <c r="E58" s="13"/>
      <c r="F58" s="13">
        <v>27000.2</v>
      </c>
      <c r="G58" s="13"/>
      <c r="H58" s="13"/>
    </row>
    <row r="59" spans="1:8" ht="21" customHeight="1" outlineLevel="2">
      <c r="A59" s="88"/>
      <c r="B59" s="91"/>
      <c r="C59" s="73">
        <v>2020</v>
      </c>
      <c r="D59" s="13">
        <f t="shared" si="2"/>
        <v>27000</v>
      </c>
      <c r="E59" s="13"/>
      <c r="F59" s="13">
        <v>27000</v>
      </c>
      <c r="G59" s="13"/>
      <c r="H59" s="13"/>
    </row>
    <row r="60" spans="1:8" ht="21" customHeight="1" outlineLevel="2">
      <c r="A60" s="88"/>
      <c r="B60" s="91"/>
      <c r="C60" s="73">
        <v>2021</v>
      </c>
      <c r="D60" s="13">
        <f t="shared" si="2"/>
        <v>27622</v>
      </c>
      <c r="E60" s="13"/>
      <c r="F60" s="13">
        <v>27622</v>
      </c>
      <c r="G60" s="13"/>
      <c r="H60" s="13"/>
    </row>
    <row r="61" spans="1:8" ht="21" customHeight="1" outlineLevel="2">
      <c r="A61" s="88"/>
      <c r="B61" s="91"/>
      <c r="C61" s="73">
        <v>2022</v>
      </c>
      <c r="D61" s="13">
        <f t="shared" si="2"/>
        <v>27622</v>
      </c>
      <c r="E61" s="13"/>
      <c r="F61" s="13">
        <v>27622</v>
      </c>
      <c r="G61" s="13"/>
      <c r="H61" s="13"/>
    </row>
    <row r="62" spans="1:8" ht="21" customHeight="1" outlineLevel="2">
      <c r="A62" s="88"/>
      <c r="B62" s="91"/>
      <c r="C62" s="73">
        <v>2023</v>
      </c>
      <c r="D62" s="13">
        <f t="shared" si="2"/>
        <v>29000</v>
      </c>
      <c r="E62" s="13"/>
      <c r="F62" s="13">
        <v>29000</v>
      </c>
      <c r="G62" s="13"/>
      <c r="H62" s="13"/>
    </row>
    <row r="63" spans="1:8" ht="21" customHeight="1" outlineLevel="2">
      <c r="A63" s="89"/>
      <c r="B63" s="92"/>
      <c r="C63" s="73">
        <v>2024</v>
      </c>
      <c r="D63" s="13">
        <f t="shared" si="2"/>
        <v>30000</v>
      </c>
      <c r="E63" s="13"/>
      <c r="F63" s="13">
        <v>30000</v>
      </c>
      <c r="G63" s="13"/>
      <c r="H63" s="13"/>
    </row>
    <row r="64" spans="1:8" ht="21" customHeight="1" outlineLevel="2">
      <c r="A64" s="14" t="s">
        <v>6</v>
      </c>
      <c r="B64" s="69"/>
      <c r="C64" s="73" t="s">
        <v>14</v>
      </c>
      <c r="D64" s="13">
        <f t="shared" si="2"/>
        <v>179290.164</v>
      </c>
      <c r="E64" s="13">
        <f>SUM(E57:E59)</f>
        <v>0</v>
      </c>
      <c r="F64" s="13">
        <f>SUM(F57:F63)</f>
        <v>179290.164</v>
      </c>
      <c r="G64" s="13">
        <f>SUM(G57:G63)</f>
        <v>0</v>
      </c>
      <c r="H64" s="13">
        <f>SUM(H57:H63)</f>
        <v>0</v>
      </c>
    </row>
    <row r="65" spans="1:8" ht="21" customHeight="1" outlineLevel="1">
      <c r="A65" s="100" t="s">
        <v>87</v>
      </c>
      <c r="B65" s="102" t="s">
        <v>40</v>
      </c>
      <c r="C65" s="74">
        <v>2018</v>
      </c>
      <c r="D65" s="67">
        <f t="shared" si="2"/>
        <v>113872.44</v>
      </c>
      <c r="E65" s="67"/>
      <c r="F65" s="67">
        <f>F73+F81+F89</f>
        <v>103675.44</v>
      </c>
      <c r="G65" s="67"/>
      <c r="H65" s="67">
        <f aca="true" t="shared" si="4" ref="H65:H71">H73+H81+H89</f>
        <v>10197</v>
      </c>
    </row>
    <row r="66" spans="1:8" ht="21" customHeight="1" outlineLevel="1">
      <c r="A66" s="119"/>
      <c r="B66" s="115"/>
      <c r="C66" s="74">
        <v>2019</v>
      </c>
      <c r="D66" s="67">
        <f t="shared" si="2"/>
        <v>165310.75374000001</v>
      </c>
      <c r="E66" s="67">
        <f aca="true" t="shared" si="5" ref="E66:F69">E74+E82+E90+E98</f>
        <v>19818.1</v>
      </c>
      <c r="F66" s="67">
        <f t="shared" si="5"/>
        <v>134490.65374</v>
      </c>
      <c r="G66" s="67"/>
      <c r="H66" s="67">
        <f t="shared" si="4"/>
        <v>11002</v>
      </c>
    </row>
    <row r="67" spans="1:10" ht="21" customHeight="1" outlineLevel="1">
      <c r="A67" s="119"/>
      <c r="B67" s="115"/>
      <c r="C67" s="74">
        <v>2020</v>
      </c>
      <c r="D67" s="67">
        <f t="shared" si="2"/>
        <v>173851.07113</v>
      </c>
      <c r="E67" s="67">
        <f t="shared" si="5"/>
        <v>23106.4</v>
      </c>
      <c r="F67" s="67">
        <f>F75+F83+F91+F99</f>
        <v>124494.67113</v>
      </c>
      <c r="G67" s="67"/>
      <c r="H67" s="67">
        <f t="shared" si="4"/>
        <v>26250</v>
      </c>
      <c r="J67" s="77">
        <f>J83+J75+J91</f>
        <v>11243.028429999998</v>
      </c>
    </row>
    <row r="68" spans="1:8" ht="21" customHeight="1" outlineLevel="1">
      <c r="A68" s="119"/>
      <c r="B68" s="115"/>
      <c r="C68" s="74">
        <v>2021</v>
      </c>
      <c r="D68" s="67">
        <f t="shared" si="2"/>
        <v>190449.77015</v>
      </c>
      <c r="E68" s="67">
        <f t="shared" si="5"/>
        <v>19118.2</v>
      </c>
      <c r="F68" s="67">
        <f t="shared" si="5"/>
        <v>145081.57014999999</v>
      </c>
      <c r="G68" s="67"/>
      <c r="H68" s="67">
        <f t="shared" si="4"/>
        <v>26250</v>
      </c>
    </row>
    <row r="69" spans="1:8" ht="21" customHeight="1" outlineLevel="1">
      <c r="A69" s="119"/>
      <c r="B69" s="115"/>
      <c r="C69" s="74">
        <v>2022</v>
      </c>
      <c r="D69" s="67">
        <f t="shared" si="2"/>
        <v>187732.77612000002</v>
      </c>
      <c r="E69" s="67">
        <f t="shared" si="5"/>
        <v>16619.2</v>
      </c>
      <c r="F69" s="67">
        <f t="shared" si="5"/>
        <v>144863.57612</v>
      </c>
      <c r="G69" s="67"/>
      <c r="H69" s="67">
        <f t="shared" si="4"/>
        <v>26250</v>
      </c>
    </row>
    <row r="70" spans="1:8" ht="21" customHeight="1" outlineLevel="1">
      <c r="A70" s="119"/>
      <c r="B70" s="115"/>
      <c r="C70" s="74">
        <v>2023</v>
      </c>
      <c r="D70" s="67">
        <f t="shared" si="2"/>
        <v>169400</v>
      </c>
      <c r="E70" s="67"/>
      <c r="F70" s="67">
        <f>F78+F86+F94+F102</f>
        <v>142100</v>
      </c>
      <c r="G70" s="67"/>
      <c r="H70" s="67">
        <f t="shared" si="4"/>
        <v>27300</v>
      </c>
    </row>
    <row r="71" spans="1:8" ht="21" customHeight="1" outlineLevel="1">
      <c r="A71" s="101"/>
      <c r="B71" s="103"/>
      <c r="C71" s="74">
        <v>2024</v>
      </c>
      <c r="D71" s="67">
        <f t="shared" si="2"/>
        <v>172600</v>
      </c>
      <c r="E71" s="67"/>
      <c r="F71" s="67">
        <f>F79+F87+F95+F103</f>
        <v>145300</v>
      </c>
      <c r="G71" s="67"/>
      <c r="H71" s="67">
        <f t="shared" si="4"/>
        <v>27300</v>
      </c>
    </row>
    <row r="72" spans="1:8" ht="21" customHeight="1" outlineLevel="1">
      <c r="A72" s="104" t="s">
        <v>6</v>
      </c>
      <c r="B72" s="105"/>
      <c r="C72" s="74" t="s">
        <v>14</v>
      </c>
      <c r="D72" s="67">
        <f>SUM(D65:D71)</f>
        <v>1173216.8111400001</v>
      </c>
      <c r="E72" s="67">
        <f>SUM(E65:E71)</f>
        <v>78661.9</v>
      </c>
      <c r="F72" s="67">
        <f>SUM(F65:F71)</f>
        <v>940005.91114</v>
      </c>
      <c r="G72" s="67">
        <f>SUM(G65:G67)</f>
        <v>0</v>
      </c>
      <c r="H72" s="67">
        <f>SUM(H65:H71)</f>
        <v>154549</v>
      </c>
    </row>
    <row r="73" spans="1:8" ht="21" customHeight="1" outlineLevel="2">
      <c r="A73" s="87" t="s">
        <v>8</v>
      </c>
      <c r="B73" s="90" t="s">
        <v>40</v>
      </c>
      <c r="C73" s="73">
        <v>2018</v>
      </c>
      <c r="D73" s="13">
        <f t="shared" si="2"/>
        <v>17500</v>
      </c>
      <c r="E73" s="13"/>
      <c r="F73" s="13">
        <v>17500</v>
      </c>
      <c r="G73" s="13"/>
      <c r="H73" s="13"/>
    </row>
    <row r="74" spans="1:8" ht="21" customHeight="1" outlineLevel="2">
      <c r="A74" s="88"/>
      <c r="B74" s="91"/>
      <c r="C74" s="73">
        <v>2019</v>
      </c>
      <c r="D74" s="13">
        <f t="shared" si="2"/>
        <v>16929.5</v>
      </c>
      <c r="E74" s="13"/>
      <c r="F74" s="13">
        <f>17085.5-156</f>
        <v>16929.5</v>
      </c>
      <c r="G74" s="13"/>
      <c r="H74" s="13"/>
    </row>
    <row r="75" spans="1:10" ht="21" customHeight="1" outlineLevel="2">
      <c r="A75" s="88"/>
      <c r="B75" s="91"/>
      <c r="C75" s="73">
        <v>2020</v>
      </c>
      <c r="D75" s="13">
        <f t="shared" si="2"/>
        <v>23784.969</v>
      </c>
      <c r="E75" s="13"/>
      <c r="F75" s="13">
        <f>26710.66138-J75</f>
        <v>23784.969</v>
      </c>
      <c r="G75" s="13"/>
      <c r="H75" s="13"/>
      <c r="J75" s="77">
        <v>2925.69238</v>
      </c>
    </row>
    <row r="76" spans="1:8" ht="21" customHeight="1" outlineLevel="2">
      <c r="A76" s="88"/>
      <c r="B76" s="91"/>
      <c r="C76" s="73">
        <v>2021</v>
      </c>
      <c r="D76" s="13">
        <f t="shared" si="2"/>
        <v>34965.14328</v>
      </c>
      <c r="E76" s="13"/>
      <c r="F76" s="13">
        <v>34965.14328</v>
      </c>
      <c r="G76" s="13"/>
      <c r="H76" s="13"/>
    </row>
    <row r="77" spans="1:8" ht="21" customHeight="1" outlineLevel="2">
      <c r="A77" s="88"/>
      <c r="B77" s="91"/>
      <c r="C77" s="73">
        <v>2022</v>
      </c>
      <c r="D77" s="13">
        <f t="shared" si="2"/>
        <v>35978</v>
      </c>
      <c r="E77" s="13"/>
      <c r="F77" s="13">
        <v>35978</v>
      </c>
      <c r="G77" s="13"/>
      <c r="H77" s="13"/>
    </row>
    <row r="78" spans="1:8" ht="21" customHeight="1" outlineLevel="2">
      <c r="A78" s="88"/>
      <c r="B78" s="91"/>
      <c r="C78" s="73">
        <v>2023</v>
      </c>
      <c r="D78" s="13">
        <f t="shared" si="2"/>
        <v>37400</v>
      </c>
      <c r="E78" s="13"/>
      <c r="F78" s="13">
        <v>37400</v>
      </c>
      <c r="G78" s="13"/>
      <c r="H78" s="13"/>
    </row>
    <row r="79" spans="1:8" ht="21" customHeight="1" outlineLevel="2">
      <c r="A79" s="89"/>
      <c r="B79" s="92"/>
      <c r="C79" s="73">
        <v>2024</v>
      </c>
      <c r="D79" s="13">
        <f t="shared" si="2"/>
        <v>38900</v>
      </c>
      <c r="E79" s="13"/>
      <c r="F79" s="13">
        <v>38900</v>
      </c>
      <c r="G79" s="13"/>
      <c r="H79" s="13"/>
    </row>
    <row r="80" spans="1:8" ht="21" customHeight="1" outlineLevel="2">
      <c r="A80" s="14" t="s">
        <v>6</v>
      </c>
      <c r="B80" s="69"/>
      <c r="C80" s="73" t="s">
        <v>14</v>
      </c>
      <c r="D80" s="13">
        <f t="shared" si="2"/>
        <v>205457.61228</v>
      </c>
      <c r="E80" s="13">
        <f>SUM(E73:E75)</f>
        <v>0</v>
      </c>
      <c r="F80" s="13">
        <f>SUM(F73:F79)</f>
        <v>205457.61228</v>
      </c>
      <c r="G80" s="13">
        <f>SUM(G73:G75)</f>
        <v>0</v>
      </c>
      <c r="H80" s="13">
        <f>SUM(H73:H75)</f>
        <v>0</v>
      </c>
    </row>
    <row r="81" spans="1:8" ht="21" customHeight="1" outlineLevel="2">
      <c r="A81" s="87" t="s">
        <v>10</v>
      </c>
      <c r="B81" s="90" t="s">
        <v>40</v>
      </c>
      <c r="C81" s="73">
        <v>2018</v>
      </c>
      <c r="D81" s="13">
        <f t="shared" si="2"/>
        <v>44175.44</v>
      </c>
      <c r="E81" s="13"/>
      <c r="F81" s="13">
        <f>47778-3602.56</f>
        <v>44175.44</v>
      </c>
      <c r="G81" s="13"/>
      <c r="H81" s="13"/>
    </row>
    <row r="82" spans="1:8" ht="21" customHeight="1" outlineLevel="2">
      <c r="A82" s="88"/>
      <c r="B82" s="91"/>
      <c r="C82" s="73">
        <v>2019</v>
      </c>
      <c r="D82" s="13">
        <f t="shared" si="2"/>
        <v>66400</v>
      </c>
      <c r="E82" s="13"/>
      <c r="F82" s="13">
        <v>66400</v>
      </c>
      <c r="G82" s="13"/>
      <c r="H82" s="13"/>
    </row>
    <row r="83" spans="1:11" ht="21" customHeight="1" outlineLevel="2">
      <c r="A83" s="88"/>
      <c r="B83" s="91"/>
      <c r="C83" s="73">
        <v>2020</v>
      </c>
      <c r="D83" s="13">
        <f t="shared" si="2"/>
        <v>36825.86395</v>
      </c>
      <c r="E83" s="13"/>
      <c r="F83" s="13">
        <f>40700-J83</f>
        <v>36825.86395</v>
      </c>
      <c r="G83" s="13"/>
      <c r="H83" s="13"/>
      <c r="J83" s="77">
        <f>3795.13605+79</f>
        <v>3874.13605</v>
      </c>
      <c r="K83" s="53"/>
    </row>
    <row r="84" spans="1:8" ht="21" customHeight="1" outlineLevel="2">
      <c r="A84" s="88"/>
      <c r="B84" s="91"/>
      <c r="C84" s="73">
        <v>2021</v>
      </c>
      <c r="D84" s="13">
        <f t="shared" si="2"/>
        <v>40700</v>
      </c>
      <c r="E84" s="13"/>
      <c r="F84" s="13">
        <v>40700</v>
      </c>
      <c r="G84" s="13"/>
      <c r="H84" s="13"/>
    </row>
    <row r="85" spans="1:8" ht="21" customHeight="1" outlineLevel="2">
      <c r="A85" s="88"/>
      <c r="B85" s="91"/>
      <c r="C85" s="73">
        <v>2022</v>
      </c>
      <c r="D85" s="13">
        <f t="shared" si="2"/>
        <v>40700</v>
      </c>
      <c r="E85" s="13"/>
      <c r="F85" s="13">
        <v>40700</v>
      </c>
      <c r="G85" s="13"/>
      <c r="H85" s="13"/>
    </row>
    <row r="86" spans="1:8" ht="21" customHeight="1" outlineLevel="2">
      <c r="A86" s="88"/>
      <c r="B86" s="91"/>
      <c r="C86" s="73">
        <v>2023</v>
      </c>
      <c r="D86" s="13">
        <f t="shared" si="2"/>
        <v>42300</v>
      </c>
      <c r="E86" s="13"/>
      <c r="F86" s="13">
        <v>42300</v>
      </c>
      <c r="G86" s="13"/>
      <c r="H86" s="13"/>
    </row>
    <row r="87" spans="1:8" ht="21" customHeight="1" outlineLevel="2">
      <c r="A87" s="89"/>
      <c r="B87" s="92"/>
      <c r="C87" s="73">
        <v>2024</v>
      </c>
      <c r="D87" s="13">
        <f t="shared" si="2"/>
        <v>44000</v>
      </c>
      <c r="E87" s="13"/>
      <c r="F87" s="13">
        <v>44000</v>
      </c>
      <c r="G87" s="13"/>
      <c r="H87" s="13"/>
    </row>
    <row r="88" spans="1:8" ht="21" customHeight="1" outlineLevel="2">
      <c r="A88" s="14" t="s">
        <v>6</v>
      </c>
      <c r="B88" s="69"/>
      <c r="C88" s="73" t="s">
        <v>14</v>
      </c>
      <c r="D88" s="13">
        <f t="shared" si="2"/>
        <v>315101.30395</v>
      </c>
      <c r="E88" s="13">
        <f>SUM(E81:E87)</f>
        <v>0</v>
      </c>
      <c r="F88" s="13">
        <f>SUM(F81:F87)</f>
        <v>315101.30395</v>
      </c>
      <c r="G88" s="13">
        <f>SUM(G81:G87)</f>
        <v>0</v>
      </c>
      <c r="H88" s="13">
        <f>SUM(H81:H87)</f>
        <v>0</v>
      </c>
    </row>
    <row r="89" spans="1:8" ht="21" customHeight="1" outlineLevel="2">
      <c r="A89" s="87" t="s">
        <v>49</v>
      </c>
      <c r="B89" s="90" t="s">
        <v>40</v>
      </c>
      <c r="C89" s="73">
        <v>2018</v>
      </c>
      <c r="D89" s="13">
        <f t="shared" si="2"/>
        <v>52197</v>
      </c>
      <c r="E89" s="13"/>
      <c r="F89" s="13">
        <v>42000</v>
      </c>
      <c r="G89" s="13"/>
      <c r="H89" s="13">
        <v>10197</v>
      </c>
    </row>
    <row r="90" spans="1:8" ht="21" customHeight="1" outlineLevel="2">
      <c r="A90" s="88"/>
      <c r="B90" s="91"/>
      <c r="C90" s="73">
        <v>2019</v>
      </c>
      <c r="D90" s="13">
        <f aca="true" t="shared" si="6" ref="D90:D164">E90+F90+G90+H90</f>
        <v>52402</v>
      </c>
      <c r="E90" s="13"/>
      <c r="F90" s="13">
        <f>43000-1600</f>
        <v>41400</v>
      </c>
      <c r="G90" s="13"/>
      <c r="H90" s="13">
        <v>11002</v>
      </c>
    </row>
    <row r="91" spans="1:10" ht="21" customHeight="1" outlineLevel="2">
      <c r="A91" s="88"/>
      <c r="B91" s="91"/>
      <c r="C91" s="73">
        <v>2020</v>
      </c>
      <c r="D91" s="13">
        <f t="shared" si="6"/>
        <v>78753.074</v>
      </c>
      <c r="E91" s="13"/>
      <c r="F91" s="13">
        <f>56946.274-J91</f>
        <v>52503.074</v>
      </c>
      <c r="G91" s="13"/>
      <c r="H91" s="13">
        <v>26250</v>
      </c>
      <c r="J91" s="80">
        <v>4443.2</v>
      </c>
    </row>
    <row r="92" spans="1:8" ht="21" customHeight="1" outlineLevel="2">
      <c r="A92" s="88"/>
      <c r="B92" s="91"/>
      <c r="C92" s="73">
        <v>2021</v>
      </c>
      <c r="D92" s="13">
        <f t="shared" si="6"/>
        <v>86250</v>
      </c>
      <c r="E92" s="13"/>
      <c r="F92" s="13">
        <v>60000</v>
      </c>
      <c r="G92" s="13"/>
      <c r="H92" s="13">
        <v>26250</v>
      </c>
    </row>
    <row r="93" spans="1:8" ht="21" customHeight="1" outlineLevel="2">
      <c r="A93" s="88"/>
      <c r="B93" s="91"/>
      <c r="C93" s="73">
        <v>2022</v>
      </c>
      <c r="D93" s="13">
        <f t="shared" si="6"/>
        <v>86250</v>
      </c>
      <c r="E93" s="13"/>
      <c r="F93" s="13">
        <v>60000</v>
      </c>
      <c r="G93" s="13"/>
      <c r="H93" s="13">
        <v>26250</v>
      </c>
    </row>
    <row r="94" spans="1:8" ht="21" customHeight="1" outlineLevel="2">
      <c r="A94" s="88"/>
      <c r="B94" s="91"/>
      <c r="C94" s="73">
        <v>2023</v>
      </c>
      <c r="D94" s="13">
        <f t="shared" si="6"/>
        <v>89700</v>
      </c>
      <c r="E94" s="13"/>
      <c r="F94" s="13">
        <v>62400</v>
      </c>
      <c r="G94" s="13"/>
      <c r="H94" s="13">
        <v>27300</v>
      </c>
    </row>
    <row r="95" spans="1:8" ht="21" customHeight="1" outlineLevel="2">
      <c r="A95" s="89"/>
      <c r="B95" s="92"/>
      <c r="C95" s="73">
        <v>2024</v>
      </c>
      <c r="D95" s="13">
        <f t="shared" si="6"/>
        <v>89700</v>
      </c>
      <c r="E95" s="13"/>
      <c r="F95" s="13">
        <v>62400</v>
      </c>
      <c r="G95" s="13"/>
      <c r="H95" s="13">
        <v>27300</v>
      </c>
    </row>
    <row r="96" spans="1:8" ht="21" customHeight="1" outlineLevel="2">
      <c r="A96" s="14" t="s">
        <v>6</v>
      </c>
      <c r="B96" s="69"/>
      <c r="C96" s="73" t="s">
        <v>14</v>
      </c>
      <c r="D96" s="13">
        <f>SUM(D89:D95)</f>
        <v>535252.074</v>
      </c>
      <c r="E96" s="13">
        <f>SUM(E89:E95)</f>
        <v>0</v>
      </c>
      <c r="F96" s="13">
        <f>SUM(F89:F95)</f>
        <v>380703.074</v>
      </c>
      <c r="G96" s="13">
        <f>SUM(G89:G95)</f>
        <v>0</v>
      </c>
      <c r="H96" s="13">
        <f>SUM(H89:H95)</f>
        <v>154549</v>
      </c>
    </row>
    <row r="97" spans="1:8" ht="21" customHeight="1" outlineLevel="2">
      <c r="A97" s="112" t="s">
        <v>66</v>
      </c>
      <c r="B97" s="129" t="s">
        <v>56</v>
      </c>
      <c r="C97" s="25">
        <v>2018</v>
      </c>
      <c r="D97" s="13"/>
      <c r="E97" s="13"/>
      <c r="F97" s="13"/>
      <c r="G97" s="13"/>
      <c r="H97" s="13"/>
    </row>
    <row r="98" spans="1:8" ht="21" customHeight="1" outlineLevel="2">
      <c r="A98" s="112"/>
      <c r="B98" s="129"/>
      <c r="C98" s="25">
        <v>2019</v>
      </c>
      <c r="D98" s="13">
        <f t="shared" si="6"/>
        <v>29579.25374</v>
      </c>
      <c r="E98" s="13">
        <v>19818.1</v>
      </c>
      <c r="F98" s="13">
        <v>9761.15374</v>
      </c>
      <c r="G98" s="13"/>
      <c r="H98" s="13"/>
    </row>
    <row r="99" spans="1:8" ht="21" customHeight="1" outlineLevel="2">
      <c r="A99" s="112"/>
      <c r="B99" s="129"/>
      <c r="C99" s="25">
        <v>2020</v>
      </c>
      <c r="D99" s="13">
        <f t="shared" si="6"/>
        <v>34487.16418</v>
      </c>
      <c r="E99" s="13">
        <v>23106.4</v>
      </c>
      <c r="F99" s="13">
        <v>11380.76418</v>
      </c>
      <c r="G99" s="13"/>
      <c r="H99" s="13"/>
    </row>
    <row r="100" spans="1:8" ht="21" customHeight="1" outlineLevel="2">
      <c r="A100" s="112"/>
      <c r="B100" s="129"/>
      <c r="C100" s="25">
        <v>2021</v>
      </c>
      <c r="D100" s="13">
        <f t="shared" si="6"/>
        <v>28534.62687</v>
      </c>
      <c r="E100" s="13">
        <v>19118.2</v>
      </c>
      <c r="F100" s="13">
        <v>9416.42687</v>
      </c>
      <c r="G100" s="13"/>
      <c r="H100" s="13"/>
    </row>
    <row r="101" spans="1:8" ht="21" customHeight="1" outlineLevel="2">
      <c r="A101" s="112"/>
      <c r="B101" s="129"/>
      <c r="C101" s="25">
        <v>2022</v>
      </c>
      <c r="D101" s="13">
        <f t="shared" si="6"/>
        <v>24804.776120000002</v>
      </c>
      <c r="E101" s="13">
        <v>16619.2</v>
      </c>
      <c r="F101" s="13">
        <v>8185.57612</v>
      </c>
      <c r="G101" s="13"/>
      <c r="H101" s="13"/>
    </row>
    <row r="102" spans="1:8" ht="21" customHeight="1" outlineLevel="2">
      <c r="A102" s="112"/>
      <c r="B102" s="129"/>
      <c r="C102" s="25">
        <v>2023</v>
      </c>
      <c r="D102" s="13">
        <f t="shared" si="6"/>
        <v>0</v>
      </c>
      <c r="E102" s="13"/>
      <c r="F102" s="13"/>
      <c r="G102" s="13"/>
      <c r="H102" s="13"/>
    </row>
    <row r="103" spans="1:8" ht="21" customHeight="1" outlineLevel="2">
      <c r="A103" s="112"/>
      <c r="B103" s="129"/>
      <c r="C103" s="25">
        <v>2024</v>
      </c>
      <c r="D103" s="13">
        <f>E103+F103+G103+H103</f>
        <v>0</v>
      </c>
      <c r="E103" s="13"/>
      <c r="F103" s="13"/>
      <c r="G103" s="13"/>
      <c r="H103" s="13"/>
    </row>
    <row r="104" spans="1:8" ht="21" customHeight="1" outlineLevel="2">
      <c r="A104" s="86" t="s">
        <v>6</v>
      </c>
      <c r="B104" s="86"/>
      <c r="C104" s="73" t="s">
        <v>14</v>
      </c>
      <c r="D104" s="13">
        <f>SUM(D97:D103)</f>
        <v>117405.82091000001</v>
      </c>
      <c r="E104" s="13">
        <f>SUM(E97:E103)</f>
        <v>78661.9</v>
      </c>
      <c r="F104" s="13">
        <f>SUM(F97:F103)</f>
        <v>38743.92091</v>
      </c>
      <c r="G104" s="13">
        <f>SUM(G97:G103)</f>
        <v>0</v>
      </c>
      <c r="H104" s="13">
        <f>SUM(H97:H103)</f>
        <v>0</v>
      </c>
    </row>
    <row r="105" spans="1:8" ht="21" customHeight="1" outlineLevel="1">
      <c r="A105" s="100" t="s">
        <v>79</v>
      </c>
      <c r="B105" s="102" t="s">
        <v>57</v>
      </c>
      <c r="C105" s="74">
        <v>2018</v>
      </c>
      <c r="D105" s="67">
        <f>E105+F105+G105+H105</f>
        <v>2185121.09988</v>
      </c>
      <c r="E105" s="67">
        <f>E113+E121+E129+E132</f>
        <v>1039750.2000000001</v>
      </c>
      <c r="F105" s="67">
        <f>F113+F121+F129+F132+F140</f>
        <v>1145370.89988</v>
      </c>
      <c r="G105" s="67"/>
      <c r="H105" s="67"/>
    </row>
    <row r="106" spans="1:8" ht="21" customHeight="1" outlineLevel="1">
      <c r="A106" s="119"/>
      <c r="B106" s="115"/>
      <c r="C106" s="74">
        <v>2019</v>
      </c>
      <c r="D106" s="67">
        <f>E106+F106+G106+H106</f>
        <v>2014676.42248</v>
      </c>
      <c r="E106" s="67">
        <f>E114+E122+E130+E133</f>
        <v>694609.5</v>
      </c>
      <c r="F106" s="67">
        <f>F114+F122+F130+F133+F141</f>
        <v>1320066.92248</v>
      </c>
      <c r="G106" s="67"/>
      <c r="H106" s="67"/>
    </row>
    <row r="107" spans="1:11" ht="21" customHeight="1" outlineLevel="1">
      <c r="A107" s="119"/>
      <c r="B107" s="115"/>
      <c r="C107" s="74">
        <v>2020</v>
      </c>
      <c r="D107" s="67">
        <f t="shared" si="6"/>
        <v>869998.2094399999</v>
      </c>
      <c r="E107" s="67">
        <f>E115+E123+E134</f>
        <v>96510.5</v>
      </c>
      <c r="F107" s="67">
        <f>F115+F123+F134+F142</f>
        <v>773487.7094399999</v>
      </c>
      <c r="G107" s="67"/>
      <c r="H107" s="67"/>
      <c r="I107" s="37">
        <f>I123</f>
        <v>0</v>
      </c>
      <c r="J107" s="77">
        <f>J123+J134</f>
        <v>100089.57</v>
      </c>
      <c r="K107" s="41"/>
    </row>
    <row r="108" spans="1:8" ht="21" customHeight="1" outlineLevel="1">
      <c r="A108" s="119"/>
      <c r="B108" s="115"/>
      <c r="C108" s="74">
        <v>2021</v>
      </c>
      <c r="D108" s="67">
        <f t="shared" si="6"/>
        <v>906886.8640000001</v>
      </c>
      <c r="E108" s="67">
        <f>E116+E124+E135</f>
        <v>129570</v>
      </c>
      <c r="F108" s="67">
        <f>F116+F124+F135+F143</f>
        <v>777316.8640000001</v>
      </c>
      <c r="G108" s="67"/>
      <c r="H108" s="67"/>
    </row>
    <row r="109" spans="1:8" ht="21" customHeight="1" outlineLevel="1">
      <c r="A109" s="119"/>
      <c r="B109" s="115"/>
      <c r="C109" s="74">
        <v>2022</v>
      </c>
      <c r="D109" s="67">
        <f t="shared" si="6"/>
        <v>883149.069</v>
      </c>
      <c r="E109" s="67">
        <f>E117+E125+E136</f>
        <v>122631.4</v>
      </c>
      <c r="F109" s="67">
        <f>F117+F125+F136+F144</f>
        <v>760517.669</v>
      </c>
      <c r="G109" s="67"/>
      <c r="H109" s="67"/>
    </row>
    <row r="110" spans="1:8" ht="21" customHeight="1" outlineLevel="1">
      <c r="A110" s="119"/>
      <c r="B110" s="115"/>
      <c r="C110" s="74">
        <v>2023</v>
      </c>
      <c r="D110" s="67">
        <f t="shared" si="6"/>
        <v>725145.669</v>
      </c>
      <c r="E110" s="67">
        <f>E118+E126+E137</f>
        <v>0</v>
      </c>
      <c r="F110" s="67">
        <f>F118+F126+F137+F145</f>
        <v>725145.669</v>
      </c>
      <c r="G110" s="67"/>
      <c r="H110" s="67"/>
    </row>
    <row r="111" spans="1:8" ht="21" customHeight="1" outlineLevel="1">
      <c r="A111" s="101"/>
      <c r="B111" s="103"/>
      <c r="C111" s="74">
        <v>2024</v>
      </c>
      <c r="D111" s="67">
        <f t="shared" si="6"/>
        <v>725145.669</v>
      </c>
      <c r="E111" s="67">
        <f>E119+E127+E138</f>
        <v>0</v>
      </c>
      <c r="F111" s="67">
        <f>F119+F127+F138+F146</f>
        <v>725145.669</v>
      </c>
      <c r="G111" s="67"/>
      <c r="H111" s="67"/>
    </row>
    <row r="112" spans="1:8" ht="21" customHeight="1" outlineLevel="1">
      <c r="A112" s="74" t="s">
        <v>26</v>
      </c>
      <c r="B112" s="74"/>
      <c r="C112" s="74" t="s">
        <v>14</v>
      </c>
      <c r="D112" s="67">
        <f t="shared" si="6"/>
        <v>8310123.002799999</v>
      </c>
      <c r="E112" s="67">
        <f>SUM(E105:E111)</f>
        <v>2083071.6</v>
      </c>
      <c r="F112" s="67">
        <f>SUM(F105:F111)</f>
        <v>6227051.402799999</v>
      </c>
      <c r="G112" s="67">
        <f>SUM(G105:G111)</f>
        <v>0</v>
      </c>
      <c r="H112" s="67">
        <f>SUM(H105:H111)</f>
        <v>0</v>
      </c>
    </row>
    <row r="113" spans="1:8" ht="21" customHeight="1" outlineLevel="2">
      <c r="A113" s="107" t="s">
        <v>35</v>
      </c>
      <c r="B113" s="90" t="s">
        <v>40</v>
      </c>
      <c r="C113" s="73">
        <v>2018</v>
      </c>
      <c r="D113" s="13">
        <f t="shared" si="6"/>
        <v>772244.4750000001</v>
      </c>
      <c r="E113" s="13">
        <f>186595.6+307859.2</f>
        <v>494454.80000000005</v>
      </c>
      <c r="F113" s="13">
        <v>277789.675</v>
      </c>
      <c r="G113" s="13"/>
      <c r="H113" s="13"/>
    </row>
    <row r="114" spans="1:8" ht="21" customHeight="1" outlineLevel="2">
      <c r="A114" s="108"/>
      <c r="B114" s="91"/>
      <c r="C114" s="73">
        <v>2019</v>
      </c>
      <c r="D114" s="13">
        <f t="shared" si="6"/>
        <v>420944.86523</v>
      </c>
      <c r="E114" s="13">
        <v>329226</v>
      </c>
      <c r="F114" s="13">
        <v>91718.86523</v>
      </c>
      <c r="G114" s="13"/>
      <c r="H114" s="13"/>
    </row>
    <row r="115" spans="1:8" ht="21" customHeight="1" outlineLevel="2">
      <c r="A115" s="108"/>
      <c r="B115" s="91"/>
      <c r="C115" s="73">
        <v>2020</v>
      </c>
      <c r="D115" s="13">
        <f t="shared" si="6"/>
        <v>126440.61044</v>
      </c>
      <c r="E115" s="13">
        <v>96510.5</v>
      </c>
      <c r="F115" s="13">
        <v>29930.11044</v>
      </c>
      <c r="G115" s="13"/>
      <c r="H115" s="13"/>
    </row>
    <row r="116" spans="1:8" ht="21" customHeight="1" outlineLevel="2">
      <c r="A116" s="108"/>
      <c r="B116" s="91"/>
      <c r="C116" s="70">
        <v>2021</v>
      </c>
      <c r="D116" s="13">
        <f t="shared" si="6"/>
        <v>191514.864</v>
      </c>
      <c r="E116" s="16">
        <v>129570</v>
      </c>
      <c r="F116" s="13">
        <v>61944.864</v>
      </c>
      <c r="G116" s="16"/>
      <c r="H116" s="16"/>
    </row>
    <row r="117" spans="1:8" ht="21" customHeight="1" outlineLevel="2">
      <c r="A117" s="108"/>
      <c r="B117" s="91"/>
      <c r="C117" s="70">
        <v>2022</v>
      </c>
      <c r="D117" s="13">
        <f t="shared" si="6"/>
        <v>167777.069</v>
      </c>
      <c r="E117" s="16">
        <v>122631.4</v>
      </c>
      <c r="F117" s="13">
        <v>45145.669</v>
      </c>
      <c r="G117" s="16"/>
      <c r="H117" s="16"/>
    </row>
    <row r="118" spans="1:8" ht="21" customHeight="1" outlineLevel="2">
      <c r="A118" s="108"/>
      <c r="B118" s="91"/>
      <c r="C118" s="70">
        <v>2023</v>
      </c>
      <c r="D118" s="13">
        <f t="shared" si="6"/>
        <v>45145.669</v>
      </c>
      <c r="E118" s="16"/>
      <c r="F118" s="13">
        <v>45145.669</v>
      </c>
      <c r="G118" s="16"/>
      <c r="H118" s="16"/>
    </row>
    <row r="119" spans="1:8" ht="21" customHeight="1" outlineLevel="2">
      <c r="A119" s="109"/>
      <c r="B119" s="92"/>
      <c r="C119" s="70">
        <v>2024</v>
      </c>
      <c r="D119" s="13">
        <f t="shared" si="6"/>
        <v>45145.669</v>
      </c>
      <c r="E119" s="16"/>
      <c r="F119" s="13">
        <v>45145.669</v>
      </c>
      <c r="G119" s="16"/>
      <c r="H119" s="16"/>
    </row>
    <row r="120" spans="1:8" ht="21" customHeight="1" outlineLevel="2">
      <c r="A120" s="94" t="s">
        <v>6</v>
      </c>
      <c r="B120" s="95"/>
      <c r="C120" s="73" t="s">
        <v>14</v>
      </c>
      <c r="D120" s="13">
        <f t="shared" si="6"/>
        <v>1769213.2216699999</v>
      </c>
      <c r="E120" s="13">
        <f>SUM(E113:E119)</f>
        <v>1172392.7</v>
      </c>
      <c r="F120" s="13">
        <f>SUM(F113:F119)</f>
        <v>596820.52167</v>
      </c>
      <c r="G120" s="13">
        <f>SUM(G113:G119)</f>
        <v>0</v>
      </c>
      <c r="H120" s="13">
        <f>SUM(H113:H119)</f>
        <v>0</v>
      </c>
    </row>
    <row r="121" spans="1:8" ht="21" customHeight="1" outlineLevel="2">
      <c r="A121" s="87" t="s">
        <v>76</v>
      </c>
      <c r="B121" s="90" t="s">
        <v>40</v>
      </c>
      <c r="C121" s="73">
        <v>2018</v>
      </c>
      <c r="D121" s="13">
        <f t="shared" si="6"/>
        <v>499714.08099999995</v>
      </c>
      <c r="E121" s="13">
        <v>111550</v>
      </c>
      <c r="F121" s="13">
        <f>362630.747+25533.334</f>
        <v>388164.08099999995</v>
      </c>
      <c r="G121" s="13"/>
      <c r="H121" s="13"/>
    </row>
    <row r="122" spans="1:8" ht="21" customHeight="1" outlineLevel="2">
      <c r="A122" s="88"/>
      <c r="B122" s="91"/>
      <c r="C122" s="70">
        <v>2019</v>
      </c>
      <c r="D122" s="13">
        <f t="shared" si="6"/>
        <v>726516.963</v>
      </c>
      <c r="E122" s="16">
        <v>7627.5</v>
      </c>
      <c r="F122" s="13">
        <v>718889.463</v>
      </c>
      <c r="G122" s="16"/>
      <c r="H122" s="16"/>
    </row>
    <row r="123" spans="1:11" ht="21" customHeight="1" outlineLevel="2">
      <c r="A123" s="88"/>
      <c r="B123" s="91"/>
      <c r="C123" s="70">
        <v>2020</v>
      </c>
      <c r="D123" s="13">
        <f t="shared" si="6"/>
        <v>679938.82</v>
      </c>
      <c r="E123" s="16"/>
      <c r="F123" s="13">
        <f>779938.82+I123-J123</f>
        <v>679938.82</v>
      </c>
      <c r="G123" s="16"/>
      <c r="H123" s="16"/>
      <c r="I123" s="38"/>
      <c r="J123" s="80">
        <f>100000</f>
        <v>100000</v>
      </c>
      <c r="K123" s="40"/>
    </row>
    <row r="124" spans="1:8" ht="21" customHeight="1" outlineLevel="2">
      <c r="A124" s="88"/>
      <c r="B124" s="91"/>
      <c r="C124" s="70">
        <v>2021</v>
      </c>
      <c r="D124" s="13">
        <f t="shared" si="6"/>
        <v>654172</v>
      </c>
      <c r="E124" s="16"/>
      <c r="F124" s="13">
        <v>654172</v>
      </c>
      <c r="G124" s="16"/>
      <c r="H124" s="16"/>
    </row>
    <row r="125" spans="1:8" ht="21" customHeight="1" outlineLevel="2">
      <c r="A125" s="88"/>
      <c r="B125" s="91"/>
      <c r="C125" s="70">
        <v>2022</v>
      </c>
      <c r="D125" s="13">
        <f t="shared" si="6"/>
        <v>654172</v>
      </c>
      <c r="E125" s="16"/>
      <c r="F125" s="13">
        <v>654172</v>
      </c>
      <c r="G125" s="16"/>
      <c r="H125" s="16"/>
    </row>
    <row r="126" spans="1:8" ht="21" customHeight="1" outlineLevel="2">
      <c r="A126" s="88"/>
      <c r="B126" s="91"/>
      <c r="C126" s="70">
        <v>2023</v>
      </c>
      <c r="D126" s="13">
        <f t="shared" si="6"/>
        <v>680000</v>
      </c>
      <c r="E126" s="16"/>
      <c r="F126" s="13">
        <v>680000</v>
      </c>
      <c r="G126" s="16"/>
      <c r="H126" s="16"/>
    </row>
    <row r="127" spans="1:8" ht="21" customHeight="1" outlineLevel="2">
      <c r="A127" s="89"/>
      <c r="B127" s="72"/>
      <c r="C127" s="70">
        <v>2024</v>
      </c>
      <c r="D127" s="13">
        <f t="shared" si="6"/>
        <v>680000</v>
      </c>
      <c r="E127" s="16"/>
      <c r="F127" s="13">
        <v>680000</v>
      </c>
      <c r="G127" s="16"/>
      <c r="H127" s="16"/>
    </row>
    <row r="128" spans="1:8" ht="21" customHeight="1" outlineLevel="2">
      <c r="A128" s="94" t="s">
        <v>7</v>
      </c>
      <c r="B128" s="95"/>
      <c r="C128" s="73" t="s">
        <v>14</v>
      </c>
      <c r="D128" s="13">
        <f t="shared" si="6"/>
        <v>4574513.864</v>
      </c>
      <c r="E128" s="13">
        <f>SUM(E121:E127)</f>
        <v>119177.5</v>
      </c>
      <c r="F128" s="13">
        <f>SUM(F121:F127)</f>
        <v>4455336.364</v>
      </c>
      <c r="G128" s="13">
        <f>SUM(G121:G127)</f>
        <v>0</v>
      </c>
      <c r="H128" s="13">
        <f>SUM(H121:H127)</f>
        <v>0</v>
      </c>
    </row>
    <row r="129" spans="1:8" ht="35.25" customHeight="1" outlineLevel="2">
      <c r="A129" s="87" t="s">
        <v>11</v>
      </c>
      <c r="B129" s="90" t="s">
        <v>40</v>
      </c>
      <c r="C129" s="73">
        <v>2018</v>
      </c>
      <c r="D129" s="13">
        <f t="shared" si="6"/>
        <v>897962.54388</v>
      </c>
      <c r="E129" s="13">
        <v>433745.4</v>
      </c>
      <c r="F129" s="13">
        <f>467217.14388-3000</f>
        <v>464217.14388</v>
      </c>
      <c r="G129" s="13"/>
      <c r="H129" s="13"/>
    </row>
    <row r="130" spans="1:8" ht="31.5" customHeight="1" outlineLevel="2">
      <c r="A130" s="89"/>
      <c r="B130" s="92"/>
      <c r="C130" s="73">
        <v>2019</v>
      </c>
      <c r="D130" s="13">
        <f t="shared" si="6"/>
        <v>789819.326</v>
      </c>
      <c r="E130" s="13">
        <v>357756</v>
      </c>
      <c r="F130" s="13">
        <v>432063.326</v>
      </c>
      <c r="G130" s="13"/>
      <c r="H130" s="13"/>
    </row>
    <row r="131" spans="1:8" ht="21" customHeight="1" outlineLevel="2">
      <c r="A131" s="94" t="s">
        <v>7</v>
      </c>
      <c r="B131" s="95"/>
      <c r="C131" s="73" t="s">
        <v>69</v>
      </c>
      <c r="D131" s="13">
        <f t="shared" si="6"/>
        <v>1687781.8698800001</v>
      </c>
      <c r="E131" s="13">
        <f>SUM(E129:E130)</f>
        <v>791501.4</v>
      </c>
      <c r="F131" s="13">
        <f>SUM(F129:F130)</f>
        <v>896280.46988</v>
      </c>
      <c r="G131" s="13">
        <f>SUM(G129:G130)</f>
        <v>0</v>
      </c>
      <c r="H131" s="13">
        <f>SUM(H129:H130)</f>
        <v>0</v>
      </c>
    </row>
    <row r="132" spans="1:8" ht="21" customHeight="1" outlineLevel="2">
      <c r="A132" s="87" t="s">
        <v>36</v>
      </c>
      <c r="B132" s="96" t="s">
        <v>58</v>
      </c>
      <c r="C132" s="73">
        <v>2018</v>
      </c>
      <c r="D132" s="13">
        <f aca="true" t="shared" si="7" ref="D132:D138">E132+F132+G132+H132</f>
        <v>15200</v>
      </c>
      <c r="E132" s="13"/>
      <c r="F132" s="13">
        <v>15200</v>
      </c>
      <c r="G132" s="13"/>
      <c r="H132" s="13"/>
    </row>
    <row r="133" spans="1:8" ht="21" customHeight="1" outlineLevel="2">
      <c r="A133" s="88"/>
      <c r="B133" s="110"/>
      <c r="C133" s="73">
        <v>2019</v>
      </c>
      <c r="D133" s="13">
        <f t="shared" si="7"/>
        <v>17395.26825</v>
      </c>
      <c r="E133" s="13"/>
      <c r="F133" s="13">
        <f>17239.26825+156</f>
        <v>17395.26825</v>
      </c>
      <c r="G133" s="13"/>
      <c r="H133" s="13"/>
    </row>
    <row r="134" spans="1:10" ht="21" customHeight="1" outlineLevel="2">
      <c r="A134" s="88"/>
      <c r="B134" s="110"/>
      <c r="C134" s="73">
        <v>2020</v>
      </c>
      <c r="D134" s="13">
        <f t="shared" si="7"/>
        <v>3618.779</v>
      </c>
      <c r="E134" s="13"/>
      <c r="F134" s="13">
        <f>3708.349-J134</f>
        <v>3618.779</v>
      </c>
      <c r="G134" s="13"/>
      <c r="H134" s="13"/>
      <c r="J134" s="77">
        <v>89.57</v>
      </c>
    </row>
    <row r="135" spans="1:8" ht="21" customHeight="1" outlineLevel="2">
      <c r="A135" s="88"/>
      <c r="B135" s="110"/>
      <c r="C135" s="73">
        <v>2021</v>
      </c>
      <c r="D135" s="13">
        <f t="shared" si="7"/>
        <v>1200</v>
      </c>
      <c r="E135" s="13"/>
      <c r="F135" s="13">
        <v>1200</v>
      </c>
      <c r="G135" s="13"/>
      <c r="H135" s="13"/>
    </row>
    <row r="136" spans="1:8" ht="21" customHeight="1" outlineLevel="2">
      <c r="A136" s="88"/>
      <c r="B136" s="110"/>
      <c r="C136" s="73">
        <v>2022</v>
      </c>
      <c r="D136" s="13">
        <f t="shared" si="7"/>
        <v>1200</v>
      </c>
      <c r="E136" s="13"/>
      <c r="F136" s="13">
        <v>1200</v>
      </c>
      <c r="G136" s="13"/>
      <c r="H136" s="13"/>
    </row>
    <row r="137" spans="1:8" ht="21" customHeight="1" outlineLevel="2">
      <c r="A137" s="88"/>
      <c r="B137" s="110"/>
      <c r="C137" s="73">
        <v>2023</v>
      </c>
      <c r="D137" s="13">
        <f t="shared" si="7"/>
        <v>0</v>
      </c>
      <c r="E137" s="13"/>
      <c r="F137" s="13"/>
      <c r="G137" s="13"/>
      <c r="H137" s="13"/>
    </row>
    <row r="138" spans="1:8" ht="21" customHeight="1" outlineLevel="2">
      <c r="A138" s="89"/>
      <c r="B138" s="97"/>
      <c r="C138" s="73">
        <v>2024</v>
      </c>
      <c r="D138" s="13">
        <f t="shared" si="7"/>
        <v>0</v>
      </c>
      <c r="E138" s="13"/>
      <c r="F138" s="13"/>
      <c r="G138" s="13"/>
      <c r="H138" s="13"/>
    </row>
    <row r="139" spans="1:8" ht="21" customHeight="1" outlineLevel="2">
      <c r="A139" s="94" t="s">
        <v>7</v>
      </c>
      <c r="B139" s="95"/>
      <c r="C139" s="73" t="s">
        <v>14</v>
      </c>
      <c r="D139" s="13">
        <f>SUM(D132:D138)</f>
        <v>38614.04725</v>
      </c>
      <c r="E139" s="13">
        <f>SUM(E132:E138)</f>
        <v>0</v>
      </c>
      <c r="F139" s="13">
        <f>SUM(F132:F138)</f>
        <v>38614.04725</v>
      </c>
      <c r="G139" s="13">
        <f>SUM(G132:G138)</f>
        <v>0</v>
      </c>
      <c r="H139" s="13">
        <f>SUM(H132:H138)</f>
        <v>0</v>
      </c>
    </row>
    <row r="140" spans="1:8" ht="21" customHeight="1" outlineLevel="2">
      <c r="A140" s="87" t="s">
        <v>53</v>
      </c>
      <c r="B140" s="96" t="s">
        <v>58</v>
      </c>
      <c r="C140" s="73">
        <v>2018</v>
      </c>
      <c r="D140" s="13">
        <f t="shared" si="6"/>
        <v>0</v>
      </c>
      <c r="E140" s="13"/>
      <c r="F140" s="13">
        <v>0</v>
      </c>
      <c r="G140" s="13"/>
      <c r="H140" s="13"/>
    </row>
    <row r="141" spans="1:8" ht="21" customHeight="1" outlineLevel="2">
      <c r="A141" s="88"/>
      <c r="B141" s="110"/>
      <c r="C141" s="73">
        <v>2019</v>
      </c>
      <c r="D141" s="13">
        <f aca="true" t="shared" si="8" ref="D141:D147">E141+F141+G141+H141</f>
        <v>60000</v>
      </c>
      <c r="E141" s="13"/>
      <c r="F141" s="13">
        <v>60000</v>
      </c>
      <c r="G141" s="13"/>
      <c r="H141" s="13"/>
    </row>
    <row r="142" spans="1:8" ht="21" customHeight="1" outlineLevel="2">
      <c r="A142" s="88"/>
      <c r="B142" s="110"/>
      <c r="C142" s="73">
        <v>2020</v>
      </c>
      <c r="D142" s="13">
        <f t="shared" si="8"/>
        <v>60000</v>
      </c>
      <c r="E142" s="13"/>
      <c r="F142" s="13">
        <v>60000</v>
      </c>
      <c r="G142" s="13"/>
      <c r="H142" s="13"/>
    </row>
    <row r="143" spans="1:8" ht="21" customHeight="1" outlineLevel="2">
      <c r="A143" s="88"/>
      <c r="B143" s="110"/>
      <c r="C143" s="73">
        <v>2021</v>
      </c>
      <c r="D143" s="13">
        <f t="shared" si="8"/>
        <v>60000</v>
      </c>
      <c r="E143" s="13"/>
      <c r="F143" s="13">
        <v>60000</v>
      </c>
      <c r="G143" s="13"/>
      <c r="H143" s="13"/>
    </row>
    <row r="144" spans="1:8" ht="21" customHeight="1" outlineLevel="2">
      <c r="A144" s="88"/>
      <c r="B144" s="110"/>
      <c r="C144" s="73">
        <v>2022</v>
      </c>
      <c r="D144" s="13">
        <f t="shared" si="8"/>
        <v>60000</v>
      </c>
      <c r="E144" s="13"/>
      <c r="F144" s="13">
        <v>60000</v>
      </c>
      <c r="G144" s="13"/>
      <c r="H144" s="13"/>
    </row>
    <row r="145" spans="1:8" ht="21" customHeight="1" outlineLevel="2">
      <c r="A145" s="88"/>
      <c r="B145" s="110"/>
      <c r="C145" s="73">
        <v>2023</v>
      </c>
      <c r="D145" s="13">
        <f t="shared" si="8"/>
        <v>0</v>
      </c>
      <c r="E145" s="13"/>
      <c r="F145" s="13"/>
      <c r="G145" s="13"/>
      <c r="H145" s="13"/>
    </row>
    <row r="146" spans="1:8" ht="21" customHeight="1" outlineLevel="2">
      <c r="A146" s="89"/>
      <c r="B146" s="97"/>
      <c r="C146" s="73">
        <v>2024</v>
      </c>
      <c r="D146" s="13">
        <f t="shared" si="8"/>
        <v>0</v>
      </c>
      <c r="E146" s="13"/>
      <c r="F146" s="13"/>
      <c r="G146" s="13"/>
      <c r="H146" s="13"/>
    </row>
    <row r="147" spans="1:8" ht="21" customHeight="1" outlineLevel="2">
      <c r="A147" s="94" t="s">
        <v>7</v>
      </c>
      <c r="B147" s="95"/>
      <c r="C147" s="73" t="s">
        <v>14</v>
      </c>
      <c r="D147" s="13">
        <f t="shared" si="8"/>
        <v>240000</v>
      </c>
      <c r="E147" s="13">
        <f>SUM(E140:E146)</f>
        <v>0</v>
      </c>
      <c r="F147" s="13">
        <f>SUM(F140:F146)</f>
        <v>240000</v>
      </c>
      <c r="G147" s="13">
        <f>SUM(G140:G146)</f>
        <v>0</v>
      </c>
      <c r="H147" s="13">
        <f>SUM(H140:H146)</f>
        <v>0</v>
      </c>
    </row>
    <row r="148" spans="1:8" ht="21" customHeight="1" outlineLevel="1">
      <c r="A148" s="100" t="s">
        <v>52</v>
      </c>
      <c r="B148" s="102" t="s">
        <v>59</v>
      </c>
      <c r="C148" s="74">
        <v>2018</v>
      </c>
      <c r="D148" s="67">
        <f t="shared" si="6"/>
        <v>142766.77811999997</v>
      </c>
      <c r="E148" s="67"/>
      <c r="F148" s="67">
        <f>SUM(F156+F164+F167)</f>
        <v>142766.77811999997</v>
      </c>
      <c r="G148" s="67"/>
      <c r="H148" s="67"/>
    </row>
    <row r="149" spans="1:8" ht="21" customHeight="1" outlineLevel="1">
      <c r="A149" s="119"/>
      <c r="B149" s="115"/>
      <c r="C149" s="74">
        <v>2019</v>
      </c>
      <c r="D149" s="67">
        <f t="shared" si="6"/>
        <v>197670.2007</v>
      </c>
      <c r="E149" s="67"/>
      <c r="F149" s="67">
        <f>SUM(F157+F165+F168)</f>
        <v>197670.2007</v>
      </c>
      <c r="G149" s="67"/>
      <c r="H149" s="67"/>
    </row>
    <row r="150" spans="1:10" ht="21" customHeight="1" outlineLevel="1">
      <c r="A150" s="119"/>
      <c r="B150" s="115"/>
      <c r="C150" s="74">
        <v>2020</v>
      </c>
      <c r="D150" s="67">
        <f>E150+F150+G150+H150</f>
        <v>180721.48713999998</v>
      </c>
      <c r="E150" s="67"/>
      <c r="F150" s="67">
        <f>F158+F169</f>
        <v>180721.48713999998</v>
      </c>
      <c r="G150" s="67"/>
      <c r="H150" s="67"/>
      <c r="J150" s="77">
        <f>J169</f>
        <v>65195.979999999996</v>
      </c>
    </row>
    <row r="151" spans="1:8" ht="21" customHeight="1" outlineLevel="1">
      <c r="A151" s="119"/>
      <c r="B151" s="115"/>
      <c r="C151" s="74">
        <v>2021</v>
      </c>
      <c r="D151" s="67">
        <f t="shared" si="6"/>
        <v>178142.66999999998</v>
      </c>
      <c r="E151" s="67"/>
      <c r="F151" s="67">
        <f>F159+F170</f>
        <v>178142.66999999998</v>
      </c>
      <c r="G151" s="67"/>
      <c r="H151" s="67"/>
    </row>
    <row r="152" spans="1:8" ht="21" customHeight="1" outlineLevel="1">
      <c r="A152" s="119"/>
      <c r="B152" s="115"/>
      <c r="C152" s="74">
        <v>2022</v>
      </c>
      <c r="D152" s="67">
        <f t="shared" si="6"/>
        <v>181035.13</v>
      </c>
      <c r="E152" s="67"/>
      <c r="F152" s="67">
        <f>F160+F171</f>
        <v>181035.13</v>
      </c>
      <c r="G152" s="67"/>
      <c r="H152" s="67"/>
    </row>
    <row r="153" spans="1:8" ht="21" customHeight="1" outlineLevel="1">
      <c r="A153" s="119"/>
      <c r="B153" s="115"/>
      <c r="C153" s="74">
        <v>2023</v>
      </c>
      <c r="D153" s="67">
        <f t="shared" si="6"/>
        <v>138616.27500000002</v>
      </c>
      <c r="E153" s="67"/>
      <c r="F153" s="67">
        <f>F161+F172</f>
        <v>138616.27500000002</v>
      </c>
      <c r="G153" s="67"/>
      <c r="H153" s="67"/>
    </row>
    <row r="154" spans="1:8" ht="21" customHeight="1" outlineLevel="1">
      <c r="A154" s="101"/>
      <c r="B154" s="103"/>
      <c r="C154" s="74">
        <v>2024</v>
      </c>
      <c r="D154" s="67">
        <f t="shared" si="6"/>
        <v>138616.27500000002</v>
      </c>
      <c r="E154" s="67"/>
      <c r="F154" s="67">
        <f>F162+F173</f>
        <v>138616.27500000002</v>
      </c>
      <c r="G154" s="67"/>
      <c r="H154" s="67"/>
    </row>
    <row r="155" spans="1:8" ht="21" customHeight="1" outlineLevel="1">
      <c r="A155" s="94" t="s">
        <v>6</v>
      </c>
      <c r="B155" s="111"/>
      <c r="C155" s="74" t="s">
        <v>14</v>
      </c>
      <c r="D155" s="67">
        <f>E155+F155+G155+H155</f>
        <v>1157568.8159599998</v>
      </c>
      <c r="E155" s="67">
        <f>SUM(E148:E154)</f>
        <v>0</v>
      </c>
      <c r="F155" s="67">
        <f>SUM(F148:F154)</f>
        <v>1157568.8159599998</v>
      </c>
      <c r="G155" s="67">
        <f>SUM(G148:G154)</f>
        <v>0</v>
      </c>
      <c r="H155" s="67">
        <f>SUM(H148:H154)</f>
        <v>0</v>
      </c>
    </row>
    <row r="156" spans="1:8" ht="21" customHeight="1" outlineLevel="2">
      <c r="A156" s="87" t="s">
        <v>23</v>
      </c>
      <c r="B156" s="90" t="s">
        <v>60</v>
      </c>
      <c r="C156" s="73">
        <v>2018</v>
      </c>
      <c r="D156" s="13">
        <f t="shared" si="6"/>
        <v>66728.536</v>
      </c>
      <c r="E156" s="13"/>
      <c r="F156" s="13">
        <v>66728.536</v>
      </c>
      <c r="G156" s="13"/>
      <c r="H156" s="13"/>
    </row>
    <row r="157" spans="1:8" ht="21" customHeight="1" outlineLevel="2">
      <c r="A157" s="88"/>
      <c r="B157" s="91"/>
      <c r="C157" s="73">
        <v>2019</v>
      </c>
      <c r="D157" s="13">
        <f t="shared" si="6"/>
        <v>67350.0297</v>
      </c>
      <c r="E157" s="13"/>
      <c r="F157" s="13">
        <v>67350.0297</v>
      </c>
      <c r="G157" s="13"/>
      <c r="H157" s="13"/>
    </row>
    <row r="158" spans="1:8" ht="21" customHeight="1" outlineLevel="2">
      <c r="A158" s="88"/>
      <c r="B158" s="91"/>
      <c r="C158" s="73">
        <v>2020</v>
      </c>
      <c r="D158" s="13">
        <f t="shared" si="6"/>
        <v>112486.10102</v>
      </c>
      <c r="E158" s="13"/>
      <c r="F158" s="13">
        <v>112486.10102</v>
      </c>
      <c r="G158" s="13"/>
      <c r="H158" s="13"/>
    </row>
    <row r="159" spans="1:8" ht="21" customHeight="1" outlineLevel="2">
      <c r="A159" s="88"/>
      <c r="B159" s="91"/>
      <c r="C159" s="73">
        <v>2021</v>
      </c>
      <c r="D159" s="13">
        <f t="shared" si="6"/>
        <v>105892.9</v>
      </c>
      <c r="E159" s="13"/>
      <c r="F159" s="13">
        <v>105892.9</v>
      </c>
      <c r="G159" s="13"/>
      <c r="H159" s="13"/>
    </row>
    <row r="160" spans="1:8" ht="21" customHeight="1" outlineLevel="2">
      <c r="A160" s="88"/>
      <c r="B160" s="91"/>
      <c r="C160" s="73">
        <v>2022</v>
      </c>
      <c r="D160" s="13">
        <f t="shared" si="6"/>
        <v>108244.3</v>
      </c>
      <c r="E160" s="13"/>
      <c r="F160" s="13">
        <v>108244.3</v>
      </c>
      <c r="G160" s="13"/>
      <c r="H160" s="13"/>
    </row>
    <row r="161" spans="1:8" ht="21" customHeight="1" outlineLevel="2">
      <c r="A161" s="88"/>
      <c r="B161" s="91"/>
      <c r="C161" s="73">
        <v>2023</v>
      </c>
      <c r="D161" s="13">
        <f t="shared" si="6"/>
        <v>67464.975</v>
      </c>
      <c r="E161" s="13"/>
      <c r="F161" s="13">
        <v>67464.975</v>
      </c>
      <c r="G161" s="13"/>
      <c r="H161" s="13"/>
    </row>
    <row r="162" spans="1:8" ht="21" customHeight="1" outlineLevel="2">
      <c r="A162" s="89"/>
      <c r="B162" s="92"/>
      <c r="C162" s="73">
        <v>2024</v>
      </c>
      <c r="D162" s="13">
        <f t="shared" si="6"/>
        <v>67464.975</v>
      </c>
      <c r="E162" s="13"/>
      <c r="F162" s="13">
        <v>67464.975</v>
      </c>
      <c r="G162" s="13"/>
      <c r="H162" s="13"/>
    </row>
    <row r="163" spans="1:8" ht="21" customHeight="1" outlineLevel="2">
      <c r="A163" s="14" t="s">
        <v>6</v>
      </c>
      <c r="B163" s="69"/>
      <c r="C163" s="73" t="s">
        <v>14</v>
      </c>
      <c r="D163" s="13">
        <f t="shared" si="6"/>
        <v>595631.81672</v>
      </c>
      <c r="E163" s="13">
        <f>SUM(E156:E162)</f>
        <v>0</v>
      </c>
      <c r="F163" s="13">
        <f>SUM(F156:F162)</f>
        <v>595631.81672</v>
      </c>
      <c r="G163" s="13">
        <f>SUM(G156:G162)</f>
        <v>0</v>
      </c>
      <c r="H163" s="13">
        <f>SUM(H156:H162)</f>
        <v>0</v>
      </c>
    </row>
    <row r="164" spans="1:8" ht="48.75" customHeight="1" outlineLevel="2">
      <c r="A164" s="87" t="s">
        <v>9</v>
      </c>
      <c r="B164" s="90" t="s">
        <v>61</v>
      </c>
      <c r="C164" s="73">
        <v>2018</v>
      </c>
      <c r="D164" s="13">
        <f t="shared" si="6"/>
        <v>6678</v>
      </c>
      <c r="E164" s="13"/>
      <c r="F164" s="13">
        <v>6678</v>
      </c>
      <c r="G164" s="13"/>
      <c r="H164" s="13"/>
    </row>
    <row r="165" spans="1:8" ht="48.75" customHeight="1" outlineLevel="2">
      <c r="A165" s="89"/>
      <c r="B165" s="92"/>
      <c r="C165" s="73">
        <v>2019</v>
      </c>
      <c r="D165" s="13">
        <f aca="true" t="shared" si="9" ref="D165:D195">E165+F165+G165+H165</f>
        <v>4972.154</v>
      </c>
      <c r="E165" s="13"/>
      <c r="F165" s="13">
        <f>4982.5-10.346</f>
        <v>4972.154</v>
      </c>
      <c r="G165" s="13"/>
      <c r="H165" s="13"/>
    </row>
    <row r="166" spans="1:8" ht="21" customHeight="1" outlineLevel="2">
      <c r="A166" s="14" t="s">
        <v>6</v>
      </c>
      <c r="B166" s="69"/>
      <c r="C166" s="73" t="s">
        <v>69</v>
      </c>
      <c r="D166" s="13">
        <f t="shared" si="9"/>
        <v>11650.154</v>
      </c>
      <c r="E166" s="13">
        <f>SUM(E164:E165)</f>
        <v>0</v>
      </c>
      <c r="F166" s="13">
        <f>SUM(F164:F165)</f>
        <v>11650.154</v>
      </c>
      <c r="G166" s="13">
        <f>SUM(G164:G165)</f>
        <v>0</v>
      </c>
      <c r="H166" s="13">
        <f>SUM(H164:H165)</f>
        <v>0</v>
      </c>
    </row>
    <row r="167" spans="1:8" ht="21" customHeight="1" outlineLevel="2">
      <c r="A167" s="87" t="s">
        <v>24</v>
      </c>
      <c r="B167" s="90" t="s">
        <v>60</v>
      </c>
      <c r="C167" s="73">
        <v>2018</v>
      </c>
      <c r="D167" s="13">
        <f t="shared" si="9"/>
        <v>69360.24212</v>
      </c>
      <c r="E167" s="13"/>
      <c r="F167" s="13">
        <v>69360.24212</v>
      </c>
      <c r="G167" s="13"/>
      <c r="H167" s="13"/>
    </row>
    <row r="168" spans="1:8" ht="21" customHeight="1" outlineLevel="2">
      <c r="A168" s="88"/>
      <c r="B168" s="91"/>
      <c r="C168" s="73">
        <v>2019</v>
      </c>
      <c r="D168" s="13">
        <f t="shared" si="9"/>
        <v>125348.017</v>
      </c>
      <c r="E168" s="13"/>
      <c r="F168" s="13">
        <v>125348.017</v>
      </c>
      <c r="G168" s="13"/>
      <c r="H168" s="13"/>
    </row>
    <row r="169" spans="1:10" ht="21" customHeight="1" outlineLevel="2">
      <c r="A169" s="88"/>
      <c r="B169" s="91"/>
      <c r="C169" s="73">
        <v>2020</v>
      </c>
      <c r="D169" s="13">
        <f t="shared" si="9"/>
        <v>68235.38612</v>
      </c>
      <c r="E169" s="13"/>
      <c r="F169" s="13">
        <v>68235.38612</v>
      </c>
      <c r="G169" s="13"/>
      <c r="H169" s="13"/>
      <c r="J169" s="77">
        <v>65195.979999999996</v>
      </c>
    </row>
    <row r="170" spans="1:8" ht="21" customHeight="1" outlineLevel="2">
      <c r="A170" s="88"/>
      <c r="B170" s="91"/>
      <c r="C170" s="73">
        <v>2021</v>
      </c>
      <c r="D170" s="13">
        <f t="shared" si="9"/>
        <v>72249.77</v>
      </c>
      <c r="E170" s="13"/>
      <c r="F170" s="13">
        <v>72249.77</v>
      </c>
      <c r="G170" s="13"/>
      <c r="H170" s="13"/>
    </row>
    <row r="171" spans="1:8" ht="21" customHeight="1" outlineLevel="2">
      <c r="A171" s="88"/>
      <c r="B171" s="91"/>
      <c r="C171" s="73">
        <v>2022</v>
      </c>
      <c r="D171" s="13">
        <f t="shared" si="9"/>
        <v>72790.83</v>
      </c>
      <c r="E171" s="13"/>
      <c r="F171" s="13">
        <v>72790.83</v>
      </c>
      <c r="G171" s="13"/>
      <c r="H171" s="13"/>
    </row>
    <row r="172" spans="1:8" ht="21" customHeight="1" outlineLevel="2">
      <c r="A172" s="88"/>
      <c r="B172" s="91"/>
      <c r="C172" s="73">
        <v>2023</v>
      </c>
      <c r="D172" s="13">
        <f t="shared" si="9"/>
        <v>71151.3</v>
      </c>
      <c r="E172" s="13"/>
      <c r="F172" s="13">
        <v>71151.3</v>
      </c>
      <c r="G172" s="13"/>
      <c r="H172" s="13"/>
    </row>
    <row r="173" spans="1:8" ht="21" customHeight="1" outlineLevel="2">
      <c r="A173" s="89"/>
      <c r="B173" s="92"/>
      <c r="C173" s="73">
        <v>2024</v>
      </c>
      <c r="D173" s="13">
        <f t="shared" si="9"/>
        <v>71151.3</v>
      </c>
      <c r="E173" s="13"/>
      <c r="F173" s="13">
        <v>71151.3</v>
      </c>
      <c r="G173" s="13"/>
      <c r="H173" s="13"/>
    </row>
    <row r="174" spans="1:8" ht="21" customHeight="1" outlineLevel="2">
      <c r="A174" s="94" t="s">
        <v>6</v>
      </c>
      <c r="B174" s="95"/>
      <c r="C174" s="73" t="s">
        <v>14</v>
      </c>
      <c r="D174" s="13">
        <f t="shared" si="9"/>
        <v>550286.84524</v>
      </c>
      <c r="E174" s="13">
        <f>SUM(E167:E173)</f>
        <v>0</v>
      </c>
      <c r="F174" s="13">
        <f>SUM(F167:F173)</f>
        <v>550286.84524</v>
      </c>
      <c r="G174" s="13">
        <f>SUM(G167:G173)</f>
        <v>0</v>
      </c>
      <c r="H174" s="13">
        <f>SUM(H167:H173)</f>
        <v>0</v>
      </c>
    </row>
    <row r="175" spans="1:8" ht="38.25" customHeight="1" outlineLevel="2">
      <c r="A175" s="14" t="s">
        <v>81</v>
      </c>
      <c r="B175" s="96" t="s">
        <v>80</v>
      </c>
      <c r="C175" s="73">
        <v>2020</v>
      </c>
      <c r="D175" s="13">
        <v>13755.32</v>
      </c>
      <c r="E175" s="13"/>
      <c r="F175" s="84">
        <v>13642.128400000001</v>
      </c>
      <c r="G175" s="42"/>
      <c r="H175" s="42"/>
    </row>
    <row r="176" spans="1:8" ht="51" customHeight="1" outlineLevel="2">
      <c r="A176" s="66" t="s">
        <v>82</v>
      </c>
      <c r="B176" s="97"/>
      <c r="C176" s="71">
        <v>2020</v>
      </c>
      <c r="D176" s="83">
        <v>35670</v>
      </c>
      <c r="E176" s="83"/>
      <c r="F176" s="85">
        <v>33523.1916</v>
      </c>
      <c r="G176" s="43"/>
      <c r="H176" s="43"/>
    </row>
    <row r="177" spans="1:8" ht="92.25" customHeight="1" outlineLevel="1">
      <c r="A177" s="100" t="s">
        <v>86</v>
      </c>
      <c r="B177" s="102" t="s">
        <v>62</v>
      </c>
      <c r="C177" s="74">
        <v>2018</v>
      </c>
      <c r="D177" s="67">
        <f t="shared" si="9"/>
        <v>1730329.09143</v>
      </c>
      <c r="E177" s="67">
        <f aca="true" t="shared" si="10" ref="E177:H178">E180+E183+E186+E189+E192+E195+E198+E201</f>
        <v>90869.07500000001</v>
      </c>
      <c r="F177" s="67">
        <f t="shared" si="10"/>
        <v>1489879.31443</v>
      </c>
      <c r="G177" s="67">
        <f t="shared" si="10"/>
        <v>45446.598</v>
      </c>
      <c r="H177" s="67">
        <f t="shared" si="10"/>
        <v>104134.10399999999</v>
      </c>
    </row>
    <row r="178" spans="1:8" ht="92.25" customHeight="1" outlineLevel="1">
      <c r="A178" s="101"/>
      <c r="B178" s="103"/>
      <c r="C178" s="74">
        <v>2019</v>
      </c>
      <c r="D178" s="67">
        <f t="shared" si="9"/>
        <v>1423601.0446600001</v>
      </c>
      <c r="E178" s="67">
        <f t="shared" si="10"/>
        <v>64707.39999999999</v>
      </c>
      <c r="F178" s="67">
        <f>F181+F184+F187+F190+F193+F196+F199+F202+0.0001</f>
        <v>1181428.3475800003</v>
      </c>
      <c r="G178" s="67">
        <f t="shared" si="10"/>
        <v>51545.78308</v>
      </c>
      <c r="H178" s="67">
        <f t="shared" si="10"/>
        <v>125919.51400000001</v>
      </c>
    </row>
    <row r="179" spans="1:14" ht="21" customHeight="1" outlineLevel="1">
      <c r="A179" s="104" t="s">
        <v>6</v>
      </c>
      <c r="B179" s="105"/>
      <c r="C179" s="68" t="s">
        <v>69</v>
      </c>
      <c r="D179" s="67">
        <f t="shared" si="9"/>
        <v>3153930.13609</v>
      </c>
      <c r="E179" s="67">
        <f>SUM(E177:E178)</f>
        <v>155576.475</v>
      </c>
      <c r="F179" s="67">
        <f>SUM(F177:F178)</f>
        <v>2671307.66201</v>
      </c>
      <c r="G179" s="67">
        <f>SUM(G177:G178)</f>
        <v>96992.38107999999</v>
      </c>
      <c r="H179" s="67">
        <f>SUM(H177:H178)</f>
        <v>230053.61800000002</v>
      </c>
      <c r="K179" s="39"/>
      <c r="L179" s="17"/>
      <c r="M179" s="17"/>
      <c r="N179" s="17"/>
    </row>
    <row r="180" spans="1:8" ht="42" customHeight="1" outlineLevel="2">
      <c r="A180" s="87" t="s">
        <v>27</v>
      </c>
      <c r="B180" s="90" t="s">
        <v>43</v>
      </c>
      <c r="C180" s="73">
        <v>2018</v>
      </c>
      <c r="D180" s="13">
        <f t="shared" si="9"/>
        <v>243032.5</v>
      </c>
      <c r="E180" s="13">
        <f>16482.9+7675.7</f>
        <v>24158.600000000002</v>
      </c>
      <c r="F180" s="13">
        <v>180892.9</v>
      </c>
      <c r="G180" s="13"/>
      <c r="H180" s="13">
        <v>37981</v>
      </c>
    </row>
    <row r="181" spans="1:8" ht="62.25" customHeight="1" outlineLevel="2">
      <c r="A181" s="89"/>
      <c r="B181" s="92"/>
      <c r="C181" s="73">
        <v>2019</v>
      </c>
      <c r="D181" s="13">
        <f t="shared" si="9"/>
        <v>251639.2</v>
      </c>
      <c r="E181" s="13">
        <v>22856.1</v>
      </c>
      <c r="F181" s="13">
        <v>177554</v>
      </c>
      <c r="G181" s="13"/>
      <c r="H181" s="13">
        <v>51229.1</v>
      </c>
    </row>
    <row r="182" spans="1:8" ht="21" customHeight="1" outlineLevel="2">
      <c r="A182" s="94" t="s">
        <v>6</v>
      </c>
      <c r="B182" s="95"/>
      <c r="C182" s="26" t="s">
        <v>69</v>
      </c>
      <c r="D182" s="13">
        <f t="shared" si="9"/>
        <v>494671.70000000007</v>
      </c>
      <c r="E182" s="13">
        <f>SUM(E180:E181)</f>
        <v>47014.7</v>
      </c>
      <c r="F182" s="13">
        <f>SUM(F180:F181)</f>
        <v>358446.9</v>
      </c>
      <c r="G182" s="13">
        <f>SUM(G180:G181)</f>
        <v>0</v>
      </c>
      <c r="H182" s="13">
        <f>SUM(H180:H181)</f>
        <v>89210.1</v>
      </c>
    </row>
    <row r="183" spans="1:8" ht="89.25" customHeight="1" outlineLevel="2">
      <c r="A183" s="87" t="s">
        <v>28</v>
      </c>
      <c r="B183" s="90" t="s">
        <v>48</v>
      </c>
      <c r="C183" s="73">
        <v>2018</v>
      </c>
      <c r="D183" s="13">
        <f t="shared" si="9"/>
        <v>970330.6668300001</v>
      </c>
      <c r="E183" s="13">
        <v>39603.2</v>
      </c>
      <c r="F183" s="13">
        <v>901796.5768300002</v>
      </c>
      <c r="G183" s="13">
        <v>28930.89</v>
      </c>
      <c r="H183" s="13">
        <v>0</v>
      </c>
    </row>
    <row r="184" spans="1:8" ht="63" customHeight="1" outlineLevel="2">
      <c r="A184" s="89"/>
      <c r="B184" s="92"/>
      <c r="C184" s="73">
        <v>2019</v>
      </c>
      <c r="D184" s="13">
        <f t="shared" si="9"/>
        <v>714368.90441</v>
      </c>
      <c r="E184" s="13">
        <v>33464.799999999996</v>
      </c>
      <c r="F184" s="13">
        <v>647630.53383</v>
      </c>
      <c r="G184" s="13">
        <v>33273.57058</v>
      </c>
      <c r="H184" s="13">
        <v>0</v>
      </c>
    </row>
    <row r="185" spans="1:8" ht="21" customHeight="1" outlineLevel="2">
      <c r="A185" s="94" t="s">
        <v>6</v>
      </c>
      <c r="B185" s="95"/>
      <c r="C185" s="73" t="s">
        <v>69</v>
      </c>
      <c r="D185" s="13">
        <f t="shared" si="9"/>
        <v>1684699.5712400002</v>
      </c>
      <c r="E185" s="13">
        <f>SUM(E183:E184)</f>
        <v>73068</v>
      </c>
      <c r="F185" s="13">
        <f>SUM(F183:F184)</f>
        <v>1549427.1106600002</v>
      </c>
      <c r="G185" s="13">
        <f>SUM(G183:G184)</f>
        <v>62204.46058</v>
      </c>
      <c r="H185" s="13">
        <f>SUM(H183:H184)</f>
        <v>0</v>
      </c>
    </row>
    <row r="186" spans="1:8" ht="49.5" customHeight="1" outlineLevel="2">
      <c r="A186" s="98" t="s">
        <v>29</v>
      </c>
      <c r="B186" s="90" t="s">
        <v>44</v>
      </c>
      <c r="C186" s="25">
        <v>2018</v>
      </c>
      <c r="D186" s="13">
        <f t="shared" si="9"/>
        <v>231402.24199999997</v>
      </c>
      <c r="E186" s="13"/>
      <c r="F186" s="13">
        <f>190000-10869.458</f>
        <v>179130.542</v>
      </c>
      <c r="G186" s="13"/>
      <c r="H186" s="13">
        <v>52271.7</v>
      </c>
    </row>
    <row r="187" spans="1:8" ht="61.5" customHeight="1" outlineLevel="2">
      <c r="A187" s="99"/>
      <c r="B187" s="92"/>
      <c r="C187" s="25">
        <v>2019</v>
      </c>
      <c r="D187" s="13">
        <f t="shared" si="9"/>
        <v>240000</v>
      </c>
      <c r="E187" s="13"/>
      <c r="F187" s="13">
        <v>190000</v>
      </c>
      <c r="G187" s="13"/>
      <c r="H187" s="13">
        <v>50000</v>
      </c>
    </row>
    <row r="188" spans="1:8" ht="21" customHeight="1" outlineLevel="2">
      <c r="A188" s="94" t="s">
        <v>6</v>
      </c>
      <c r="B188" s="95"/>
      <c r="C188" s="73" t="s">
        <v>69</v>
      </c>
      <c r="D188" s="13">
        <f t="shared" si="9"/>
        <v>471402.242</v>
      </c>
      <c r="E188" s="13">
        <f>SUM(E186:E187)</f>
        <v>0</v>
      </c>
      <c r="F188" s="13">
        <f>SUM(F186:F187)</f>
        <v>369130.542</v>
      </c>
      <c r="G188" s="13">
        <f>SUM(G186:G187)</f>
        <v>0</v>
      </c>
      <c r="H188" s="13">
        <f>SUM(H186:H187)</f>
        <v>102271.7</v>
      </c>
    </row>
    <row r="189" spans="1:8" ht="61.5" customHeight="1" outlineLevel="2">
      <c r="A189" s="98" t="s">
        <v>72</v>
      </c>
      <c r="B189" s="90" t="s">
        <v>47</v>
      </c>
      <c r="C189" s="25">
        <v>2018</v>
      </c>
      <c r="D189" s="13">
        <f t="shared" si="9"/>
        <v>219133.31</v>
      </c>
      <c r="E189" s="13">
        <v>26013.275</v>
      </c>
      <c r="F189" s="13">
        <v>184710.478</v>
      </c>
      <c r="G189" s="13">
        <v>8409.557</v>
      </c>
      <c r="H189" s="13"/>
    </row>
    <row r="190" spans="1:8" ht="60" customHeight="1" outlineLevel="2">
      <c r="A190" s="99"/>
      <c r="B190" s="92"/>
      <c r="C190" s="25">
        <v>2019</v>
      </c>
      <c r="D190" s="13">
        <f t="shared" si="9"/>
        <v>111522.9271</v>
      </c>
      <c r="E190" s="13"/>
      <c r="F190" s="13">
        <v>107839.74</v>
      </c>
      <c r="G190" s="13">
        <v>3683.1871</v>
      </c>
      <c r="H190" s="13"/>
    </row>
    <row r="191" spans="1:8" ht="21" customHeight="1" outlineLevel="2">
      <c r="A191" s="94" t="s">
        <v>6</v>
      </c>
      <c r="B191" s="95"/>
      <c r="C191" s="26" t="s">
        <v>69</v>
      </c>
      <c r="D191" s="13">
        <f t="shared" si="9"/>
        <v>330656.2371</v>
      </c>
      <c r="E191" s="13">
        <f>SUM(E189:E190)</f>
        <v>26013.275</v>
      </c>
      <c r="F191" s="13">
        <f>SUM(F189:F190)</f>
        <v>292550.218</v>
      </c>
      <c r="G191" s="13">
        <f>SUM(G189:G190)</f>
        <v>12092.7441</v>
      </c>
      <c r="H191" s="13">
        <f>SUM(H189:H190)</f>
        <v>0</v>
      </c>
    </row>
    <row r="192" spans="1:8" ht="45" customHeight="1" outlineLevel="2">
      <c r="A192" s="87" t="s">
        <v>30</v>
      </c>
      <c r="B192" s="90" t="s">
        <v>45</v>
      </c>
      <c r="C192" s="25">
        <v>2018</v>
      </c>
      <c r="D192" s="13">
        <f t="shared" si="9"/>
        <v>21706.97787</v>
      </c>
      <c r="E192" s="13">
        <v>1094</v>
      </c>
      <c r="F192" s="13">
        <v>11966.42287</v>
      </c>
      <c r="G192" s="13">
        <v>6606.151</v>
      </c>
      <c r="H192" s="13">
        <v>2040.404</v>
      </c>
    </row>
    <row r="193" spans="1:8" ht="44.25" customHeight="1" outlineLevel="2">
      <c r="A193" s="89"/>
      <c r="B193" s="92"/>
      <c r="C193" s="25">
        <v>2019</v>
      </c>
      <c r="D193" s="13">
        <f t="shared" si="9"/>
        <v>35356.889279999996</v>
      </c>
      <c r="E193" s="13">
        <v>1037.6</v>
      </c>
      <c r="F193" s="13">
        <v>19808.949879999996</v>
      </c>
      <c r="G193" s="13">
        <v>12946.9254</v>
      </c>
      <c r="H193" s="13">
        <v>1563.4140000000002</v>
      </c>
    </row>
    <row r="194" spans="1:8" ht="21" customHeight="1" outlineLevel="2">
      <c r="A194" s="94" t="s">
        <v>6</v>
      </c>
      <c r="B194" s="95"/>
      <c r="C194" s="73" t="s">
        <v>69</v>
      </c>
      <c r="D194" s="13">
        <f t="shared" si="9"/>
        <v>57063.86714999999</v>
      </c>
      <c r="E194" s="13">
        <f>SUM(E192:E193)</f>
        <v>2131.6</v>
      </c>
      <c r="F194" s="13">
        <f>SUM(F192:F193)</f>
        <v>31775.372749999995</v>
      </c>
      <c r="G194" s="13">
        <f>SUM(G192:G193)</f>
        <v>19553.076399999998</v>
      </c>
      <c r="H194" s="13">
        <f>SUM(H192:H193)</f>
        <v>3603.818</v>
      </c>
    </row>
    <row r="195" spans="1:8" ht="29.25" customHeight="1" outlineLevel="2">
      <c r="A195" s="87" t="s">
        <v>32</v>
      </c>
      <c r="B195" s="90" t="s">
        <v>45</v>
      </c>
      <c r="C195" s="25">
        <v>2018</v>
      </c>
      <c r="D195" s="13">
        <f t="shared" si="9"/>
        <v>44723.39473</v>
      </c>
      <c r="E195" s="13"/>
      <c r="F195" s="13">
        <v>31382.39473</v>
      </c>
      <c r="G195" s="13">
        <v>1500</v>
      </c>
      <c r="H195" s="13">
        <v>11841</v>
      </c>
    </row>
    <row r="196" spans="1:8" ht="29.25" customHeight="1" outlineLevel="2">
      <c r="A196" s="89"/>
      <c r="B196" s="92"/>
      <c r="C196" s="25">
        <v>2019</v>
      </c>
      <c r="D196" s="13">
        <f aca="true" t="shared" si="11" ref="D196:D203">E196+F196+G196+H196</f>
        <v>55573.17377</v>
      </c>
      <c r="E196" s="13"/>
      <c r="F196" s="13">
        <v>30946.17377</v>
      </c>
      <c r="G196" s="13">
        <v>1500</v>
      </c>
      <c r="H196" s="13">
        <v>23127</v>
      </c>
    </row>
    <row r="197" spans="1:8" ht="21" customHeight="1" outlineLevel="2">
      <c r="A197" s="86" t="s">
        <v>6</v>
      </c>
      <c r="B197" s="86"/>
      <c r="C197" s="73" t="s">
        <v>69</v>
      </c>
      <c r="D197" s="13">
        <f t="shared" si="11"/>
        <v>100296.5685</v>
      </c>
      <c r="E197" s="13">
        <f>SUM(E195:E196)</f>
        <v>0</v>
      </c>
      <c r="F197" s="13">
        <f>SUM(F195:F196)</f>
        <v>62328.5685</v>
      </c>
      <c r="G197" s="13">
        <f>SUM(G195:G196)</f>
        <v>3000</v>
      </c>
      <c r="H197" s="13">
        <f>SUM(H195:H196)</f>
        <v>34968</v>
      </c>
    </row>
    <row r="198" spans="1:8" ht="45.75" customHeight="1" outlineLevel="2">
      <c r="A198" s="87" t="s">
        <v>54</v>
      </c>
      <c r="B198" s="90" t="s">
        <v>63</v>
      </c>
      <c r="C198" s="25">
        <v>2018</v>
      </c>
      <c r="D198" s="13">
        <f t="shared" si="11"/>
        <v>0</v>
      </c>
      <c r="E198" s="13"/>
      <c r="F198" s="13">
        <v>0</v>
      </c>
      <c r="G198" s="13"/>
      <c r="H198" s="13"/>
    </row>
    <row r="199" spans="1:8" ht="43.5" customHeight="1" outlineLevel="2">
      <c r="A199" s="89"/>
      <c r="B199" s="92"/>
      <c r="C199" s="25">
        <v>2019</v>
      </c>
      <c r="D199" s="13">
        <f t="shared" si="11"/>
        <v>8790.3</v>
      </c>
      <c r="E199" s="13">
        <v>4307.2</v>
      </c>
      <c r="F199" s="13">
        <v>4483.1</v>
      </c>
      <c r="G199" s="13"/>
      <c r="H199" s="13"/>
    </row>
    <row r="200" spans="1:8" ht="21" customHeight="1" outlineLevel="2">
      <c r="A200" s="86" t="s">
        <v>6</v>
      </c>
      <c r="B200" s="86"/>
      <c r="C200" s="73" t="s">
        <v>69</v>
      </c>
      <c r="D200" s="13">
        <f t="shared" si="11"/>
        <v>8790.3</v>
      </c>
      <c r="E200" s="13">
        <f>SUM(E198:E199)</f>
        <v>4307.2</v>
      </c>
      <c r="F200" s="13">
        <f>SUM(F198:F199)</f>
        <v>4483.1</v>
      </c>
      <c r="G200" s="13">
        <f>SUM(G198:G199)</f>
        <v>0</v>
      </c>
      <c r="H200" s="13">
        <f>SUM(H198:H199)</f>
        <v>0</v>
      </c>
    </row>
    <row r="201" spans="1:8" ht="40.5" customHeight="1" outlineLevel="2">
      <c r="A201" s="87" t="s">
        <v>55</v>
      </c>
      <c r="B201" s="90" t="s">
        <v>64</v>
      </c>
      <c r="C201" s="25">
        <v>2018</v>
      </c>
      <c r="D201" s="13">
        <f t="shared" si="11"/>
        <v>0</v>
      </c>
      <c r="E201" s="13"/>
      <c r="F201" s="13">
        <v>0</v>
      </c>
      <c r="G201" s="13"/>
      <c r="H201" s="13"/>
    </row>
    <row r="202" spans="1:8" ht="52.5" customHeight="1" outlineLevel="2">
      <c r="A202" s="89"/>
      <c r="B202" s="92"/>
      <c r="C202" s="25">
        <v>2019</v>
      </c>
      <c r="D202" s="13">
        <f t="shared" si="11"/>
        <v>6349.65</v>
      </c>
      <c r="E202" s="13">
        <v>3041.7</v>
      </c>
      <c r="F202" s="13">
        <v>3165.85</v>
      </c>
      <c r="G202" s="13">
        <v>142.1</v>
      </c>
      <c r="H202" s="13"/>
    </row>
    <row r="203" spans="1:8" ht="21" customHeight="1" outlineLevel="2">
      <c r="A203" s="86" t="s">
        <v>6</v>
      </c>
      <c r="B203" s="86"/>
      <c r="C203" s="73" t="s">
        <v>69</v>
      </c>
      <c r="D203" s="13">
        <f t="shared" si="11"/>
        <v>6349.65</v>
      </c>
      <c r="E203" s="13">
        <f>SUM(E201:E202)</f>
        <v>3041.7</v>
      </c>
      <c r="F203" s="13">
        <f>SUM(F201:F202)</f>
        <v>3165.85</v>
      </c>
      <c r="G203" s="13">
        <f>SUM(G201:G202)</f>
        <v>142.1</v>
      </c>
      <c r="H203" s="13">
        <f>SUM(H201:H202)</f>
        <v>0</v>
      </c>
    </row>
    <row r="204" spans="1:12" ht="21" customHeight="1" outlineLevel="1">
      <c r="A204" s="100" t="s">
        <v>37</v>
      </c>
      <c r="B204" s="102" t="s">
        <v>42</v>
      </c>
      <c r="C204" s="74">
        <v>2018</v>
      </c>
      <c r="D204" s="67">
        <f aca="true" t="shared" si="12" ref="D204:D242">E204+F204+G204+H204</f>
        <v>546063.104</v>
      </c>
      <c r="E204" s="67">
        <f aca="true" t="shared" si="13" ref="E204:G207">E212</f>
        <v>24462</v>
      </c>
      <c r="F204" s="67">
        <f>F212</f>
        <v>342088.104</v>
      </c>
      <c r="G204" s="67">
        <f>G212</f>
        <v>0</v>
      </c>
      <c r="H204" s="67">
        <f>H212</f>
        <v>179513</v>
      </c>
      <c r="I204" s="1"/>
      <c r="J204" s="81"/>
      <c r="K204" s="5"/>
      <c r="L204" s="5"/>
    </row>
    <row r="205" spans="1:12" ht="21" customHeight="1" outlineLevel="1">
      <c r="A205" s="119"/>
      <c r="B205" s="115"/>
      <c r="C205" s="74">
        <v>2019</v>
      </c>
      <c r="D205" s="67">
        <f>E205+F205+G205+H205</f>
        <v>629860.5830000001</v>
      </c>
      <c r="E205" s="67">
        <f t="shared" si="13"/>
        <v>94577.6</v>
      </c>
      <c r="F205" s="67">
        <f t="shared" si="13"/>
        <v>358868.423</v>
      </c>
      <c r="G205" s="67">
        <f t="shared" si="13"/>
        <v>0</v>
      </c>
      <c r="H205" s="67">
        <f aca="true" t="shared" si="14" ref="H205:H210">H213</f>
        <v>176414.56</v>
      </c>
      <c r="I205" s="1"/>
      <c r="J205" s="81"/>
      <c r="K205" s="5"/>
      <c r="L205" s="5"/>
    </row>
    <row r="206" spans="1:12" ht="21" customHeight="1" outlineLevel="1">
      <c r="A206" s="119"/>
      <c r="B206" s="115"/>
      <c r="C206" s="74">
        <v>2020</v>
      </c>
      <c r="D206" s="67">
        <f t="shared" si="12"/>
        <v>751807.7426499999</v>
      </c>
      <c r="E206" s="67">
        <f t="shared" si="13"/>
        <v>144969</v>
      </c>
      <c r="F206" s="67">
        <f t="shared" si="13"/>
        <v>423383.03265</v>
      </c>
      <c r="G206" s="67">
        <f t="shared" si="13"/>
        <v>0</v>
      </c>
      <c r="H206" s="67">
        <f t="shared" si="14"/>
        <v>183455.71</v>
      </c>
      <c r="I206" s="1"/>
      <c r="J206" s="81"/>
      <c r="K206" s="5"/>
      <c r="L206" s="5"/>
    </row>
    <row r="207" spans="1:12" ht="21" customHeight="1" outlineLevel="1">
      <c r="A207" s="119"/>
      <c r="B207" s="115"/>
      <c r="C207" s="74">
        <v>2021</v>
      </c>
      <c r="D207" s="67">
        <f t="shared" si="12"/>
        <v>630895.87585</v>
      </c>
      <c r="E207" s="67">
        <f t="shared" si="13"/>
        <v>83132</v>
      </c>
      <c r="F207" s="67">
        <f t="shared" si="13"/>
        <v>376515.16585</v>
      </c>
      <c r="G207" s="67">
        <f t="shared" si="13"/>
        <v>0</v>
      </c>
      <c r="H207" s="67">
        <f t="shared" si="14"/>
        <v>171248.71</v>
      </c>
      <c r="I207" s="1"/>
      <c r="J207" s="81"/>
      <c r="K207" s="5"/>
      <c r="L207" s="5"/>
    </row>
    <row r="208" spans="1:12" ht="21" customHeight="1" outlineLevel="1">
      <c r="A208" s="119"/>
      <c r="B208" s="115"/>
      <c r="C208" s="74">
        <v>2022</v>
      </c>
      <c r="D208" s="67">
        <f t="shared" si="12"/>
        <v>558590.10219</v>
      </c>
      <c r="E208" s="67">
        <f aca="true" t="shared" si="15" ref="E208:G210">E216</f>
        <v>31350</v>
      </c>
      <c r="F208" s="67">
        <f t="shared" si="15"/>
        <v>355991.39219</v>
      </c>
      <c r="G208" s="67">
        <f t="shared" si="15"/>
        <v>0</v>
      </c>
      <c r="H208" s="67">
        <f t="shared" si="14"/>
        <v>171248.71</v>
      </c>
      <c r="I208" s="1"/>
      <c r="J208" s="81"/>
      <c r="K208" s="5"/>
      <c r="L208" s="5"/>
    </row>
    <row r="209" spans="1:12" ht="21" customHeight="1" outlineLevel="1">
      <c r="A209" s="119"/>
      <c r="B209" s="115"/>
      <c r="C209" s="74">
        <v>2023</v>
      </c>
      <c r="D209" s="67">
        <f t="shared" si="12"/>
        <v>547600</v>
      </c>
      <c r="E209" s="67">
        <f t="shared" si="15"/>
        <v>0</v>
      </c>
      <c r="F209" s="67">
        <f t="shared" si="15"/>
        <v>370000</v>
      </c>
      <c r="G209" s="67">
        <f t="shared" si="15"/>
        <v>0</v>
      </c>
      <c r="H209" s="67">
        <f t="shared" si="14"/>
        <v>177600</v>
      </c>
      <c r="I209" s="1"/>
      <c r="J209" s="81"/>
      <c r="K209" s="5"/>
      <c r="L209" s="5"/>
    </row>
    <row r="210" spans="1:12" ht="21" customHeight="1" outlineLevel="1">
      <c r="A210" s="101"/>
      <c r="B210" s="103"/>
      <c r="C210" s="74">
        <v>2024</v>
      </c>
      <c r="D210" s="67">
        <f t="shared" si="12"/>
        <v>568320</v>
      </c>
      <c r="E210" s="67">
        <f t="shared" si="15"/>
        <v>0</v>
      </c>
      <c r="F210" s="67">
        <f t="shared" si="15"/>
        <v>384000</v>
      </c>
      <c r="G210" s="67">
        <f t="shared" si="15"/>
        <v>0</v>
      </c>
      <c r="H210" s="67">
        <f t="shared" si="14"/>
        <v>184320</v>
      </c>
      <c r="I210" s="1"/>
      <c r="J210" s="81"/>
      <c r="K210" s="5"/>
      <c r="L210" s="5"/>
    </row>
    <row r="211" spans="1:12" ht="21" customHeight="1" outlineLevel="1">
      <c r="A211" s="104" t="s">
        <v>25</v>
      </c>
      <c r="B211" s="105"/>
      <c r="C211" s="74" t="s">
        <v>14</v>
      </c>
      <c r="D211" s="67">
        <f t="shared" si="12"/>
        <v>4233137.40769</v>
      </c>
      <c r="E211" s="67">
        <f>SUM(E204:E210)</f>
        <v>378490.6</v>
      </c>
      <c r="F211" s="67">
        <f>SUM(F204:F210)</f>
        <v>2610846.1176899998</v>
      </c>
      <c r="G211" s="67">
        <f>SUM(G204:G210)</f>
        <v>0</v>
      </c>
      <c r="H211" s="67">
        <f>SUM(H204:H210)</f>
        <v>1243800.69</v>
      </c>
      <c r="I211" s="32"/>
      <c r="J211" s="82"/>
      <c r="K211" s="12"/>
      <c r="L211" s="12"/>
    </row>
    <row r="212" spans="1:12" ht="21" customHeight="1" outlineLevel="2">
      <c r="A212" s="87" t="s">
        <v>34</v>
      </c>
      <c r="B212" s="90" t="s">
        <v>42</v>
      </c>
      <c r="C212" s="73">
        <v>2018</v>
      </c>
      <c r="D212" s="13">
        <f t="shared" si="12"/>
        <v>546063.104</v>
      </c>
      <c r="E212" s="13">
        <v>24462</v>
      </c>
      <c r="F212" s="13">
        <f>349790.464-7702.36</f>
        <v>342088.104</v>
      </c>
      <c r="G212" s="13"/>
      <c r="H212" s="13">
        <v>179513</v>
      </c>
      <c r="I212" s="1"/>
      <c r="J212" s="81"/>
      <c r="K212" s="5"/>
      <c r="L212" s="5"/>
    </row>
    <row r="213" spans="1:12" ht="21" customHeight="1" outlineLevel="2">
      <c r="A213" s="88"/>
      <c r="B213" s="91"/>
      <c r="C213" s="73">
        <v>2019</v>
      </c>
      <c r="D213" s="13">
        <f t="shared" si="12"/>
        <v>629860.5830000001</v>
      </c>
      <c r="E213" s="13">
        <v>94577.6</v>
      </c>
      <c r="F213" s="13">
        <v>358868.423</v>
      </c>
      <c r="G213" s="13"/>
      <c r="H213" s="13">
        <v>176414.56</v>
      </c>
      <c r="I213" s="1"/>
      <c r="J213" s="81"/>
      <c r="K213" s="5"/>
      <c r="L213" s="5"/>
    </row>
    <row r="214" spans="1:12" ht="21" customHeight="1" outlineLevel="2">
      <c r="A214" s="88"/>
      <c r="B214" s="91"/>
      <c r="C214" s="73">
        <v>2020</v>
      </c>
      <c r="D214" s="13">
        <f t="shared" si="12"/>
        <v>751807.7426499999</v>
      </c>
      <c r="E214" s="13">
        <v>144969</v>
      </c>
      <c r="F214" s="13">
        <v>423383.03265</v>
      </c>
      <c r="G214" s="13"/>
      <c r="H214" s="13">
        <v>183455.71</v>
      </c>
      <c r="I214" s="1"/>
      <c r="J214" s="81"/>
      <c r="K214" s="5"/>
      <c r="L214" s="5"/>
    </row>
    <row r="215" spans="1:12" ht="21" customHeight="1" outlineLevel="2">
      <c r="A215" s="88"/>
      <c r="B215" s="91"/>
      <c r="C215" s="73">
        <v>2021</v>
      </c>
      <c r="D215" s="13">
        <f t="shared" si="12"/>
        <v>630895.87585</v>
      </c>
      <c r="E215" s="13">
        <v>83132</v>
      </c>
      <c r="F215" s="13">
        <v>376515.16585</v>
      </c>
      <c r="G215" s="13"/>
      <c r="H215" s="13">
        <v>171248.71</v>
      </c>
      <c r="I215" s="1"/>
      <c r="J215" s="81"/>
      <c r="K215" s="5"/>
      <c r="L215" s="5"/>
    </row>
    <row r="216" spans="1:12" ht="21" customHeight="1" outlineLevel="2">
      <c r="A216" s="88"/>
      <c r="B216" s="91"/>
      <c r="C216" s="73">
        <v>2022</v>
      </c>
      <c r="D216" s="13">
        <f t="shared" si="12"/>
        <v>558590.10219</v>
      </c>
      <c r="E216" s="13">
        <v>31350</v>
      </c>
      <c r="F216" s="13">
        <v>355991.39219</v>
      </c>
      <c r="G216" s="13"/>
      <c r="H216" s="13">
        <v>171248.71</v>
      </c>
      <c r="I216" s="1"/>
      <c r="J216" s="81"/>
      <c r="K216" s="5"/>
      <c r="L216" s="5"/>
    </row>
    <row r="217" spans="1:12" ht="21" customHeight="1" outlineLevel="2">
      <c r="A217" s="88"/>
      <c r="B217" s="91"/>
      <c r="C217" s="73">
        <v>2023</v>
      </c>
      <c r="D217" s="13">
        <f t="shared" si="12"/>
        <v>547600</v>
      </c>
      <c r="E217" s="13"/>
      <c r="F217" s="13">
        <v>370000</v>
      </c>
      <c r="G217" s="13"/>
      <c r="H217" s="13">
        <v>177600</v>
      </c>
      <c r="I217" s="1"/>
      <c r="J217" s="81"/>
      <c r="K217" s="5"/>
      <c r="L217" s="5"/>
    </row>
    <row r="218" spans="1:12" ht="21" customHeight="1" outlineLevel="2">
      <c r="A218" s="89"/>
      <c r="B218" s="92"/>
      <c r="C218" s="73">
        <v>2024</v>
      </c>
      <c r="D218" s="13">
        <f t="shared" si="12"/>
        <v>568320</v>
      </c>
      <c r="E218" s="13"/>
      <c r="F218" s="13">
        <v>384000</v>
      </c>
      <c r="G218" s="13"/>
      <c r="H218" s="13">
        <v>184320</v>
      </c>
      <c r="I218" s="1"/>
      <c r="J218" s="81"/>
      <c r="K218" s="5"/>
      <c r="L218" s="5"/>
    </row>
    <row r="219" spans="1:12" ht="21" customHeight="1" outlineLevel="2">
      <c r="A219" s="86" t="s">
        <v>6</v>
      </c>
      <c r="B219" s="86"/>
      <c r="C219" s="73" t="s">
        <v>14</v>
      </c>
      <c r="D219" s="13">
        <f t="shared" si="12"/>
        <v>4233137.40769</v>
      </c>
      <c r="E219" s="13">
        <f>SUM(E212:E218)</f>
        <v>378490.6</v>
      </c>
      <c r="F219" s="13">
        <f>SUM(F212:F218)</f>
        <v>2610846.1176899998</v>
      </c>
      <c r="G219" s="13">
        <f>SUM(G212:G218)</f>
        <v>0</v>
      </c>
      <c r="H219" s="13">
        <f>SUM(H212:H218)</f>
        <v>1243800.69</v>
      </c>
      <c r="I219" s="32"/>
      <c r="J219" s="82"/>
      <c r="K219" s="12"/>
      <c r="L219" s="12"/>
    </row>
    <row r="220" spans="1:12" ht="21" customHeight="1" outlineLevel="1">
      <c r="A220" s="114" t="s">
        <v>90</v>
      </c>
      <c r="B220" s="102" t="s">
        <v>83</v>
      </c>
      <c r="C220" s="74">
        <v>2018</v>
      </c>
      <c r="D220" s="67">
        <f t="shared" si="12"/>
        <v>466399.237</v>
      </c>
      <c r="E220" s="67"/>
      <c r="F220" s="67">
        <f>SUM(F228+F236)</f>
        <v>466399.237</v>
      </c>
      <c r="G220" s="67"/>
      <c r="H220" s="67"/>
      <c r="I220" s="32"/>
      <c r="J220" s="82"/>
      <c r="K220" s="12"/>
      <c r="L220" s="12"/>
    </row>
    <row r="221" spans="1:12" ht="21" customHeight="1" outlineLevel="1">
      <c r="A221" s="114"/>
      <c r="B221" s="115"/>
      <c r="C221" s="74">
        <v>2019</v>
      </c>
      <c r="D221" s="67">
        <f t="shared" si="12"/>
        <v>510293.00253</v>
      </c>
      <c r="E221" s="67"/>
      <c r="F221" s="67">
        <f>SUM(F229+F237)</f>
        <v>510293.00253</v>
      </c>
      <c r="G221" s="67"/>
      <c r="H221" s="67"/>
      <c r="I221" s="1"/>
      <c r="J221" s="81"/>
      <c r="K221" s="5"/>
      <c r="L221" s="5"/>
    </row>
    <row r="222" spans="1:12" ht="21" customHeight="1" outlineLevel="1">
      <c r="A222" s="114"/>
      <c r="B222" s="115"/>
      <c r="C222" s="74">
        <v>2020</v>
      </c>
      <c r="D222" s="67">
        <f t="shared" si="12"/>
        <v>562199.19</v>
      </c>
      <c r="E222" s="67"/>
      <c r="F222" s="67">
        <f>SUM(F230+F238+F250+F244)</f>
        <v>562199.19</v>
      </c>
      <c r="G222" s="67"/>
      <c r="H222" s="67"/>
      <c r="I222" s="1"/>
      <c r="J222" s="81"/>
      <c r="K222" s="5"/>
      <c r="L222" s="5"/>
    </row>
    <row r="223" spans="1:12" ht="21" customHeight="1" outlineLevel="1">
      <c r="A223" s="114"/>
      <c r="B223" s="115"/>
      <c r="C223" s="74">
        <v>2021</v>
      </c>
      <c r="D223" s="67">
        <f t="shared" si="12"/>
        <v>548421</v>
      </c>
      <c r="E223" s="67"/>
      <c r="F223" s="67">
        <f>SUM(F231+F239+F251+F245)</f>
        <v>548421</v>
      </c>
      <c r="G223" s="67"/>
      <c r="H223" s="67"/>
      <c r="I223" s="1"/>
      <c r="J223" s="81"/>
      <c r="K223" s="5"/>
      <c r="L223" s="5"/>
    </row>
    <row r="224" spans="1:12" ht="21" customHeight="1" outlineLevel="1">
      <c r="A224" s="114"/>
      <c r="B224" s="115"/>
      <c r="C224" s="74">
        <v>2022</v>
      </c>
      <c r="D224" s="67">
        <f t="shared" si="12"/>
        <v>627875.866</v>
      </c>
      <c r="E224" s="67">
        <f>SUM(E232+E240+E252)</f>
        <v>50000</v>
      </c>
      <c r="F224" s="67">
        <f>SUM(F232+F240+F252+F246)</f>
        <v>577875.866</v>
      </c>
      <c r="G224" s="67"/>
      <c r="H224" s="67"/>
      <c r="I224" s="1"/>
      <c r="J224" s="81"/>
      <c r="K224" s="5"/>
      <c r="L224" s="5"/>
    </row>
    <row r="225" spans="1:12" ht="21" customHeight="1" outlineLevel="1">
      <c r="A225" s="114"/>
      <c r="B225" s="115"/>
      <c r="C225" s="74">
        <v>2023</v>
      </c>
      <c r="D225" s="67">
        <f t="shared" si="12"/>
        <v>476767.1</v>
      </c>
      <c r="E225" s="67"/>
      <c r="F225" s="67">
        <f>SUM(F233+F241+F253+F247)</f>
        <v>476767.1</v>
      </c>
      <c r="G225" s="67"/>
      <c r="H225" s="67"/>
      <c r="I225" s="1"/>
      <c r="J225" s="81"/>
      <c r="K225" s="5"/>
      <c r="L225" s="5"/>
    </row>
    <row r="226" spans="1:12" ht="21" customHeight="1" outlineLevel="1">
      <c r="A226" s="114"/>
      <c r="B226" s="103"/>
      <c r="C226" s="74">
        <v>2024</v>
      </c>
      <c r="D226" s="67">
        <f t="shared" si="12"/>
        <v>476767.1</v>
      </c>
      <c r="E226" s="67"/>
      <c r="F226" s="67">
        <f>SUM(F234+F242+F254+F248)</f>
        <v>476767.1</v>
      </c>
      <c r="G226" s="67"/>
      <c r="H226" s="67"/>
      <c r="I226" s="1"/>
      <c r="J226" s="81"/>
      <c r="K226" s="5"/>
      <c r="L226" s="5"/>
    </row>
    <row r="227" spans="1:12" ht="21" customHeight="1" outlineLevel="1">
      <c r="A227" s="113"/>
      <c r="B227" s="113"/>
      <c r="C227" s="74" t="s">
        <v>14</v>
      </c>
      <c r="D227" s="67">
        <f t="shared" si="12"/>
        <v>3668722.49553</v>
      </c>
      <c r="E227" s="67">
        <f>SUM(E220:E226)</f>
        <v>50000</v>
      </c>
      <c r="F227" s="67">
        <f>SUM(F220:F226)</f>
        <v>3618722.49553</v>
      </c>
      <c r="G227" s="67">
        <f>SUM(G220:G226)</f>
        <v>0</v>
      </c>
      <c r="H227" s="67">
        <f>SUM(H220:H226)</f>
        <v>0</v>
      </c>
      <c r="I227" s="32"/>
      <c r="J227" s="81"/>
      <c r="K227" s="5"/>
      <c r="L227" s="5"/>
    </row>
    <row r="228" spans="1:12" ht="21" customHeight="1" outlineLevel="2">
      <c r="A228" s="112" t="s">
        <v>15</v>
      </c>
      <c r="B228" s="90" t="s">
        <v>83</v>
      </c>
      <c r="C228" s="73">
        <v>2018</v>
      </c>
      <c r="D228" s="13">
        <f t="shared" si="12"/>
        <v>455218.727</v>
      </c>
      <c r="E228" s="13"/>
      <c r="F228" s="13">
        <v>455218.727</v>
      </c>
      <c r="G228" s="13"/>
      <c r="H228" s="13"/>
      <c r="J228" s="81"/>
      <c r="K228" s="5"/>
      <c r="L228" s="5"/>
    </row>
    <row r="229" spans="1:12" ht="21" customHeight="1" outlineLevel="2">
      <c r="A229" s="112"/>
      <c r="B229" s="91"/>
      <c r="C229" s="73">
        <v>2019</v>
      </c>
      <c r="D229" s="13">
        <f t="shared" si="12"/>
        <v>502593.00253</v>
      </c>
      <c r="E229" s="13"/>
      <c r="F229" s="13">
        <v>502593.00253</v>
      </c>
      <c r="G229" s="13"/>
      <c r="H229" s="13"/>
      <c r="J229" s="81"/>
      <c r="K229" s="5"/>
      <c r="L229" s="5"/>
    </row>
    <row r="230" spans="1:12" ht="21" customHeight="1" outlineLevel="2">
      <c r="A230" s="112"/>
      <c r="B230" s="91"/>
      <c r="C230" s="73">
        <v>2020</v>
      </c>
      <c r="D230" s="13">
        <f t="shared" si="12"/>
        <v>557199.19</v>
      </c>
      <c r="E230" s="13"/>
      <c r="F230" s="13">
        <v>557199.19</v>
      </c>
      <c r="G230" s="13"/>
      <c r="H230" s="13"/>
      <c r="J230" s="81"/>
      <c r="K230" s="5"/>
      <c r="L230" s="5"/>
    </row>
    <row r="231" spans="1:12" ht="21" customHeight="1" outlineLevel="2">
      <c r="A231" s="112"/>
      <c r="B231" s="91"/>
      <c r="C231" s="73">
        <v>2021</v>
      </c>
      <c r="D231" s="13">
        <f t="shared" si="12"/>
        <v>543421</v>
      </c>
      <c r="E231" s="13"/>
      <c r="F231" s="13">
        <v>543421</v>
      </c>
      <c r="G231" s="13"/>
      <c r="H231" s="13"/>
      <c r="J231" s="81"/>
      <c r="K231" s="5"/>
      <c r="L231" s="5"/>
    </row>
    <row r="232" spans="1:12" ht="21" customHeight="1" outlineLevel="2">
      <c r="A232" s="112"/>
      <c r="B232" s="91"/>
      <c r="C232" s="73">
        <v>2022</v>
      </c>
      <c r="D232" s="13">
        <f t="shared" si="12"/>
        <v>548249</v>
      </c>
      <c r="E232" s="13"/>
      <c r="F232" s="13">
        <v>548249</v>
      </c>
      <c r="G232" s="13"/>
      <c r="H232" s="13"/>
      <c r="J232" s="81"/>
      <c r="K232" s="5"/>
      <c r="L232" s="5"/>
    </row>
    <row r="233" spans="1:12" ht="21" customHeight="1" outlineLevel="2">
      <c r="A233" s="112"/>
      <c r="B233" s="91"/>
      <c r="C233" s="73">
        <v>2023</v>
      </c>
      <c r="D233" s="13">
        <f t="shared" si="12"/>
        <v>471767.1</v>
      </c>
      <c r="E233" s="13"/>
      <c r="F233" s="13">
        <v>471767.1</v>
      </c>
      <c r="G233" s="13"/>
      <c r="H233" s="13"/>
      <c r="J233" s="81"/>
      <c r="K233" s="5"/>
      <c r="L233" s="5"/>
    </row>
    <row r="234" spans="1:12" ht="21" customHeight="1" outlineLevel="2">
      <c r="A234" s="112"/>
      <c r="B234" s="92"/>
      <c r="C234" s="73">
        <v>2024</v>
      </c>
      <c r="D234" s="13">
        <f t="shared" si="12"/>
        <v>471767.1</v>
      </c>
      <c r="E234" s="13"/>
      <c r="F234" s="13">
        <v>471767.1</v>
      </c>
      <c r="G234" s="13"/>
      <c r="H234" s="13"/>
      <c r="J234" s="81"/>
      <c r="K234" s="5"/>
      <c r="L234" s="5"/>
    </row>
    <row r="235" spans="1:12" ht="21" customHeight="1" outlineLevel="2">
      <c r="A235" s="86" t="s">
        <v>7</v>
      </c>
      <c r="B235" s="86"/>
      <c r="C235" s="73" t="s">
        <v>14</v>
      </c>
      <c r="D235" s="13">
        <f t="shared" si="12"/>
        <v>3550215.1195300003</v>
      </c>
      <c r="E235" s="13">
        <f>SUM(E228:E234)</f>
        <v>0</v>
      </c>
      <c r="F235" s="13">
        <f>SUM(F228:F234)</f>
        <v>3550215.1195300003</v>
      </c>
      <c r="G235" s="13">
        <f>SUM(G228:G234)</f>
        <v>0</v>
      </c>
      <c r="H235" s="13">
        <f>SUM(H228:H234)</f>
        <v>0</v>
      </c>
      <c r="J235" s="81"/>
      <c r="K235" s="5"/>
      <c r="L235" s="5"/>
    </row>
    <row r="236" spans="1:12" ht="21" customHeight="1" outlineLevel="2">
      <c r="A236" s="112" t="s">
        <v>39</v>
      </c>
      <c r="B236" s="90" t="s">
        <v>84</v>
      </c>
      <c r="C236" s="73">
        <v>2018</v>
      </c>
      <c r="D236" s="13">
        <f t="shared" si="12"/>
        <v>11180.51</v>
      </c>
      <c r="E236" s="13"/>
      <c r="F236" s="13">
        <v>11180.51</v>
      </c>
      <c r="G236" s="13"/>
      <c r="H236" s="13"/>
      <c r="J236" s="81"/>
      <c r="K236" s="5"/>
      <c r="L236" s="5"/>
    </row>
    <row r="237" spans="1:12" ht="21" customHeight="1" outlineLevel="2">
      <c r="A237" s="112"/>
      <c r="B237" s="91"/>
      <c r="C237" s="73">
        <v>2019</v>
      </c>
      <c r="D237" s="13">
        <f t="shared" si="12"/>
        <v>7700</v>
      </c>
      <c r="E237" s="13"/>
      <c r="F237" s="13">
        <v>7700</v>
      </c>
      <c r="G237" s="13"/>
      <c r="H237" s="13"/>
      <c r="J237" s="81"/>
      <c r="K237" s="5"/>
      <c r="L237" s="5"/>
    </row>
    <row r="238" spans="1:12" ht="21" customHeight="1" outlineLevel="2">
      <c r="A238" s="112"/>
      <c r="B238" s="91"/>
      <c r="C238" s="73">
        <v>2020</v>
      </c>
      <c r="D238" s="13">
        <f t="shared" si="12"/>
        <v>5000</v>
      </c>
      <c r="E238" s="13"/>
      <c r="F238" s="13">
        <v>5000</v>
      </c>
      <c r="G238" s="13"/>
      <c r="H238" s="13"/>
      <c r="J238" s="81"/>
      <c r="K238" s="5"/>
      <c r="L238" s="5"/>
    </row>
    <row r="239" spans="1:12" ht="21" customHeight="1" outlineLevel="2">
      <c r="A239" s="112"/>
      <c r="B239" s="91"/>
      <c r="C239" s="73">
        <v>2021</v>
      </c>
      <c r="D239" s="13">
        <f t="shared" si="12"/>
        <v>5000</v>
      </c>
      <c r="E239" s="13"/>
      <c r="F239" s="13">
        <v>5000</v>
      </c>
      <c r="G239" s="13"/>
      <c r="H239" s="13"/>
      <c r="J239" s="81"/>
      <c r="K239" s="5"/>
      <c r="L239" s="5"/>
    </row>
    <row r="240" spans="1:12" ht="21" customHeight="1" outlineLevel="2">
      <c r="A240" s="112"/>
      <c r="B240" s="91"/>
      <c r="C240" s="73">
        <v>2022</v>
      </c>
      <c r="D240" s="13">
        <f t="shared" si="12"/>
        <v>5000</v>
      </c>
      <c r="E240" s="13"/>
      <c r="F240" s="13">
        <v>5000</v>
      </c>
      <c r="G240" s="13"/>
      <c r="H240" s="13"/>
      <c r="J240" s="81"/>
      <c r="K240" s="5"/>
      <c r="L240" s="5"/>
    </row>
    <row r="241" spans="1:12" ht="21" customHeight="1" outlineLevel="2">
      <c r="A241" s="112"/>
      <c r="B241" s="91"/>
      <c r="C241" s="73">
        <v>2023</v>
      </c>
      <c r="D241" s="13">
        <f t="shared" si="12"/>
        <v>5000</v>
      </c>
      <c r="E241" s="13"/>
      <c r="F241" s="13">
        <v>5000</v>
      </c>
      <c r="G241" s="13"/>
      <c r="H241" s="13"/>
      <c r="J241" s="81"/>
      <c r="K241" s="5"/>
      <c r="L241" s="5"/>
    </row>
    <row r="242" spans="1:12" ht="21" customHeight="1" outlineLevel="2">
      <c r="A242" s="112"/>
      <c r="B242" s="92"/>
      <c r="C242" s="73">
        <v>2024</v>
      </c>
      <c r="D242" s="13">
        <f t="shared" si="12"/>
        <v>5000</v>
      </c>
      <c r="E242" s="13"/>
      <c r="F242" s="13">
        <v>5000</v>
      </c>
      <c r="G242" s="13"/>
      <c r="H242" s="13"/>
      <c r="J242" s="81"/>
      <c r="K242" s="5"/>
      <c r="L242" s="5"/>
    </row>
    <row r="243" spans="1:12" ht="21" customHeight="1" outlineLevel="2">
      <c r="A243" s="86" t="s">
        <v>7</v>
      </c>
      <c r="B243" s="86"/>
      <c r="C243" s="73" t="s">
        <v>14</v>
      </c>
      <c r="D243" s="13">
        <f>SUM(D236:D242)</f>
        <v>43880.51</v>
      </c>
      <c r="E243" s="13">
        <f>SUM(E236:E242)</f>
        <v>0</v>
      </c>
      <c r="F243" s="13">
        <f>SUM(F236:F242)</f>
        <v>43880.51</v>
      </c>
      <c r="G243" s="13">
        <f>SUM(G236:G242)</f>
        <v>0</v>
      </c>
      <c r="H243" s="13">
        <f>SUM(H236:H242)</f>
        <v>0</v>
      </c>
      <c r="J243" s="81"/>
      <c r="K243" s="5"/>
      <c r="L243" s="5"/>
    </row>
    <row r="244" spans="1:12" ht="21" customHeight="1" outlineLevel="2">
      <c r="A244" s="87" t="s">
        <v>78</v>
      </c>
      <c r="B244" s="90" t="s">
        <v>84</v>
      </c>
      <c r="C244" s="73">
        <v>2020</v>
      </c>
      <c r="D244" s="13"/>
      <c r="E244" s="13"/>
      <c r="F244" s="13"/>
      <c r="G244" s="13"/>
      <c r="H244" s="13"/>
      <c r="J244" s="81"/>
      <c r="K244" s="5"/>
      <c r="L244" s="5"/>
    </row>
    <row r="245" spans="1:12" ht="21" customHeight="1" outlineLevel="2">
      <c r="A245" s="88"/>
      <c r="B245" s="91"/>
      <c r="C245" s="73">
        <v>2021</v>
      </c>
      <c r="D245" s="13"/>
      <c r="E245" s="13"/>
      <c r="F245" s="13"/>
      <c r="G245" s="13"/>
      <c r="H245" s="13"/>
      <c r="J245" s="81"/>
      <c r="K245" s="5"/>
      <c r="L245" s="5"/>
    </row>
    <row r="246" spans="1:12" ht="21" customHeight="1" outlineLevel="2">
      <c r="A246" s="88"/>
      <c r="B246" s="91"/>
      <c r="C246" s="73">
        <v>2022</v>
      </c>
      <c r="D246" s="13"/>
      <c r="E246" s="13"/>
      <c r="F246" s="13"/>
      <c r="G246" s="13"/>
      <c r="H246" s="13"/>
      <c r="J246" s="81"/>
      <c r="K246" s="5"/>
      <c r="L246" s="5"/>
    </row>
    <row r="247" spans="1:12" ht="21" customHeight="1" outlineLevel="2">
      <c r="A247" s="88"/>
      <c r="B247" s="91"/>
      <c r="C247" s="73">
        <v>2023</v>
      </c>
      <c r="D247" s="13"/>
      <c r="E247" s="13"/>
      <c r="F247" s="13"/>
      <c r="G247" s="13"/>
      <c r="H247" s="13"/>
      <c r="J247" s="81"/>
      <c r="K247" s="5"/>
      <c r="L247" s="5"/>
    </row>
    <row r="248" spans="1:12" ht="21" customHeight="1" outlineLevel="2">
      <c r="A248" s="89"/>
      <c r="B248" s="92"/>
      <c r="C248" s="73">
        <v>2024</v>
      </c>
      <c r="D248" s="13"/>
      <c r="E248" s="13"/>
      <c r="F248" s="13"/>
      <c r="G248" s="13"/>
      <c r="H248" s="13"/>
      <c r="J248" s="81"/>
      <c r="K248" s="5"/>
      <c r="L248" s="5"/>
    </row>
    <row r="249" spans="1:12" ht="21" customHeight="1" outlineLevel="2">
      <c r="A249" s="86" t="s">
        <v>7</v>
      </c>
      <c r="B249" s="86"/>
      <c r="C249" s="73" t="s">
        <v>68</v>
      </c>
      <c r="D249" s="13">
        <v>0</v>
      </c>
      <c r="E249" s="13">
        <f>SUM(E244:E248)</f>
        <v>0</v>
      </c>
      <c r="F249" s="13">
        <f>SUM(F244:F248)</f>
        <v>0</v>
      </c>
      <c r="G249" s="13">
        <f>SUM(G244:G248)</f>
        <v>0</v>
      </c>
      <c r="H249" s="13">
        <f>SUM(H244:H248)</f>
        <v>0</v>
      </c>
      <c r="J249" s="81"/>
      <c r="K249" s="5"/>
      <c r="L249" s="5"/>
    </row>
    <row r="250" spans="1:12" ht="23.25" customHeight="1" outlineLevel="2">
      <c r="A250" s="87" t="s">
        <v>73</v>
      </c>
      <c r="B250" s="90" t="s">
        <v>77</v>
      </c>
      <c r="C250" s="73">
        <v>2020</v>
      </c>
      <c r="D250" s="13"/>
      <c r="E250" s="13"/>
      <c r="F250" s="13"/>
      <c r="G250" s="13"/>
      <c r="H250" s="13"/>
      <c r="J250" s="81"/>
      <c r="K250" s="5"/>
      <c r="L250" s="5"/>
    </row>
    <row r="251" spans="1:12" ht="21" customHeight="1" outlineLevel="2">
      <c r="A251" s="88"/>
      <c r="B251" s="91"/>
      <c r="C251" s="73">
        <v>2021</v>
      </c>
      <c r="D251" s="13"/>
      <c r="E251" s="13"/>
      <c r="F251" s="13"/>
      <c r="G251" s="13"/>
      <c r="H251" s="13"/>
      <c r="J251" s="81"/>
      <c r="K251" s="5"/>
      <c r="L251" s="5"/>
    </row>
    <row r="252" spans="1:12" ht="21" customHeight="1" outlineLevel="2">
      <c r="A252" s="88"/>
      <c r="B252" s="91"/>
      <c r="C252" s="73">
        <v>2022</v>
      </c>
      <c r="D252" s="13">
        <f>E252+F252+G252+H252</f>
        <v>74626.86600000001</v>
      </c>
      <c r="E252" s="13">
        <v>50000</v>
      </c>
      <c r="F252" s="13">
        <v>24626.866</v>
      </c>
      <c r="G252" s="13"/>
      <c r="H252" s="13"/>
      <c r="J252" s="81"/>
      <c r="K252" s="5"/>
      <c r="L252" s="5"/>
    </row>
    <row r="253" spans="1:12" ht="21" customHeight="1" outlineLevel="2">
      <c r="A253" s="88"/>
      <c r="B253" s="91"/>
      <c r="C253" s="73">
        <v>2023</v>
      </c>
      <c r="D253" s="13"/>
      <c r="E253" s="13"/>
      <c r="F253" s="13"/>
      <c r="G253" s="13"/>
      <c r="H253" s="13"/>
      <c r="J253" s="81"/>
      <c r="K253" s="5"/>
      <c r="L253" s="5"/>
    </row>
    <row r="254" spans="1:12" ht="21" customHeight="1" outlineLevel="2">
      <c r="A254" s="89"/>
      <c r="B254" s="92"/>
      <c r="C254" s="73">
        <v>2024</v>
      </c>
      <c r="D254" s="13"/>
      <c r="E254" s="13"/>
      <c r="F254" s="13"/>
      <c r="G254" s="13"/>
      <c r="H254" s="13"/>
      <c r="J254" s="81"/>
      <c r="K254" s="5"/>
      <c r="L254" s="5"/>
    </row>
    <row r="255" spans="1:12" ht="21" customHeight="1" outlineLevel="2">
      <c r="A255" s="86" t="s">
        <v>7</v>
      </c>
      <c r="B255" s="86"/>
      <c r="C255" s="73" t="s">
        <v>68</v>
      </c>
      <c r="D255" s="13">
        <f>SUM(D250:D254)</f>
        <v>74626.86600000001</v>
      </c>
      <c r="E255" s="13">
        <f>SUM(E250:E254)</f>
        <v>50000</v>
      </c>
      <c r="F255" s="13">
        <f>SUM(F250:F254)</f>
        <v>24626.866</v>
      </c>
      <c r="G255" s="13">
        <f>SUM(G250:G254)</f>
        <v>0</v>
      </c>
      <c r="H255" s="13">
        <f>SUM(H250:H254)</f>
        <v>0</v>
      </c>
      <c r="J255" s="81"/>
      <c r="K255" s="5"/>
      <c r="L255" s="5"/>
    </row>
    <row r="256" spans="1:10" ht="21" customHeight="1" outlineLevel="1">
      <c r="A256" s="100" t="s">
        <v>91</v>
      </c>
      <c r="B256" s="102" t="s">
        <v>40</v>
      </c>
      <c r="C256" s="74">
        <v>2020</v>
      </c>
      <c r="D256" s="67">
        <f>E256+F256+G256+H256</f>
        <v>3174304.73443</v>
      </c>
      <c r="E256" s="67">
        <f>E262+E268</f>
        <v>624355.2</v>
      </c>
      <c r="F256" s="67">
        <f>F262+F268+F274+F280</f>
        <v>2549949.53443</v>
      </c>
      <c r="G256" s="67"/>
      <c r="H256" s="67"/>
      <c r="I256" s="55">
        <f>I262+I280</f>
        <v>176528.57843000002</v>
      </c>
      <c r="J256" s="77"/>
    </row>
    <row r="257" spans="1:8" ht="21" customHeight="1" outlineLevel="1">
      <c r="A257" s="119"/>
      <c r="B257" s="115"/>
      <c r="C257" s="74">
        <v>2021</v>
      </c>
      <c r="D257" s="67">
        <f>E257+F257+G257+H257</f>
        <v>2940674.3000000003</v>
      </c>
      <c r="E257" s="67">
        <f>E263+E269</f>
        <v>609465.6</v>
      </c>
      <c r="F257" s="67">
        <f>F263+F269+F275+F281</f>
        <v>2331208.7</v>
      </c>
      <c r="G257" s="67"/>
      <c r="H257" s="67"/>
    </row>
    <row r="258" spans="1:8" ht="21" customHeight="1" outlineLevel="1">
      <c r="A258" s="119"/>
      <c r="B258" s="115"/>
      <c r="C258" s="74">
        <v>2022</v>
      </c>
      <c r="D258" s="67">
        <f>E258+F258+G258+H258</f>
        <v>2970847.2026899997</v>
      </c>
      <c r="E258" s="67">
        <f>E264+E270</f>
        <v>622576</v>
      </c>
      <c r="F258" s="67">
        <f>F264+F270+F276+F282</f>
        <v>2348271.2026899997</v>
      </c>
      <c r="G258" s="67"/>
      <c r="H258" s="67"/>
    </row>
    <row r="259" spans="1:8" ht="21" customHeight="1" outlineLevel="1">
      <c r="A259" s="119"/>
      <c r="B259" s="115"/>
      <c r="C259" s="74">
        <v>2023</v>
      </c>
      <c r="D259" s="67">
        <f>E259+F259+G259+H259</f>
        <v>2424600</v>
      </c>
      <c r="E259" s="67"/>
      <c r="F259" s="67">
        <f>F265+F271+F277+F283</f>
        <v>2424600</v>
      </c>
      <c r="G259" s="67"/>
      <c r="H259" s="67"/>
    </row>
    <row r="260" spans="1:8" ht="21" customHeight="1" outlineLevel="1">
      <c r="A260" s="101"/>
      <c r="B260" s="103"/>
      <c r="C260" s="74">
        <v>2024</v>
      </c>
      <c r="D260" s="67">
        <f>E260+F260+G260+H260</f>
        <v>2493100</v>
      </c>
      <c r="E260" s="67"/>
      <c r="F260" s="67">
        <f>F266+F272+F278+F284</f>
        <v>2493100</v>
      </c>
      <c r="G260" s="67"/>
      <c r="H260" s="67"/>
    </row>
    <row r="261" spans="1:8" ht="21" customHeight="1" outlineLevel="1">
      <c r="A261" s="104" t="s">
        <v>6</v>
      </c>
      <c r="B261" s="105"/>
      <c r="C261" s="74" t="s">
        <v>68</v>
      </c>
      <c r="D261" s="67">
        <f>SUM(D256:D260)</f>
        <v>14003526.23712</v>
      </c>
      <c r="E261" s="67">
        <f>SUM(E256:E260)</f>
        <v>1856396.7999999998</v>
      </c>
      <c r="F261" s="67">
        <f>SUM(F256:F260)</f>
        <v>12147129.43712</v>
      </c>
      <c r="G261" s="67">
        <f>SUM(G256:G260)</f>
        <v>0</v>
      </c>
      <c r="H261" s="67">
        <f>SUM(H256:H260)</f>
        <v>0</v>
      </c>
    </row>
    <row r="262" spans="1:10" ht="21" customHeight="1" outlineLevel="2">
      <c r="A262" s="87" t="s">
        <v>67</v>
      </c>
      <c r="B262" s="90" t="s">
        <v>40</v>
      </c>
      <c r="C262" s="73">
        <v>2020</v>
      </c>
      <c r="D262" s="13">
        <f aca="true" t="shared" si="16" ref="D262:D273">E262+F262+G262+H262</f>
        <v>2106718.08055</v>
      </c>
      <c r="E262" s="13">
        <f>379920.6</f>
        <v>379920.6</v>
      </c>
      <c r="F262" s="13">
        <f>1698409.76055+I262-J262</f>
        <v>1726797.48055</v>
      </c>
      <c r="G262" s="13"/>
      <c r="H262" s="13"/>
      <c r="I262" s="38">
        <f>24800+5744.948-2157.228</f>
        <v>28387.72</v>
      </c>
      <c r="J262" s="80"/>
    </row>
    <row r="263" spans="1:8" ht="21" customHeight="1" outlineLevel="2">
      <c r="A263" s="88"/>
      <c r="B263" s="91"/>
      <c r="C263" s="73">
        <v>2021</v>
      </c>
      <c r="D263" s="13">
        <f t="shared" si="16"/>
        <v>1999276.13673</v>
      </c>
      <c r="E263" s="13">
        <v>361869.5</v>
      </c>
      <c r="F263" s="13">
        <v>1637406.63673</v>
      </c>
      <c r="G263" s="13"/>
      <c r="H263" s="13"/>
    </row>
    <row r="264" spans="1:8" ht="21" customHeight="1" outlineLevel="2">
      <c r="A264" s="88"/>
      <c r="B264" s="91"/>
      <c r="C264" s="73">
        <v>2022</v>
      </c>
      <c r="D264" s="13">
        <f t="shared" si="16"/>
        <v>2047811.90857</v>
      </c>
      <c r="E264" s="13">
        <v>374239</v>
      </c>
      <c r="F264" s="13">
        <v>1673572.90857</v>
      </c>
      <c r="G264" s="13"/>
      <c r="H264" s="13"/>
    </row>
    <row r="265" spans="1:8" ht="21" customHeight="1" outlineLevel="2">
      <c r="A265" s="88"/>
      <c r="B265" s="91"/>
      <c r="C265" s="73">
        <v>2023</v>
      </c>
      <c r="D265" s="13">
        <f t="shared" si="16"/>
        <v>1740500</v>
      </c>
      <c r="E265" s="13"/>
      <c r="F265" s="13">
        <v>1740500</v>
      </c>
      <c r="G265" s="13"/>
      <c r="H265" s="13"/>
    </row>
    <row r="266" spans="1:8" ht="21" customHeight="1" outlineLevel="2">
      <c r="A266" s="89"/>
      <c r="B266" s="92"/>
      <c r="C266" s="73">
        <v>2024</v>
      </c>
      <c r="D266" s="13">
        <f t="shared" si="16"/>
        <v>1800000</v>
      </c>
      <c r="E266" s="13"/>
      <c r="F266" s="13">
        <v>1800000</v>
      </c>
      <c r="G266" s="13"/>
      <c r="H266" s="13"/>
    </row>
    <row r="267" spans="1:8" ht="21" customHeight="1" outlineLevel="2">
      <c r="A267" s="94" t="s">
        <v>6</v>
      </c>
      <c r="B267" s="95"/>
      <c r="C267" s="73" t="s">
        <v>68</v>
      </c>
      <c r="D267" s="13">
        <f t="shared" si="16"/>
        <v>9694306.12585</v>
      </c>
      <c r="E267" s="13">
        <f>SUM(E262:E266)</f>
        <v>1116029.1</v>
      </c>
      <c r="F267" s="13">
        <f>SUM(F262:F266)</f>
        <v>8578277.02585</v>
      </c>
      <c r="G267" s="13">
        <f>SUM(G262:G266)</f>
        <v>0</v>
      </c>
      <c r="H267" s="13">
        <f>SUM(H262:H266)</f>
        <v>0</v>
      </c>
    </row>
    <row r="268" spans="1:8" ht="21" customHeight="1" outlineLevel="2">
      <c r="A268" s="87" t="s">
        <v>74</v>
      </c>
      <c r="B268" s="90" t="s">
        <v>40</v>
      </c>
      <c r="C268" s="73">
        <v>2020</v>
      </c>
      <c r="D268" s="13">
        <f t="shared" si="16"/>
        <v>498846.12245</v>
      </c>
      <c r="E268" s="13">
        <v>244434.6</v>
      </c>
      <c r="F268" s="13">
        <v>254411.52245</v>
      </c>
      <c r="G268" s="13"/>
      <c r="H268" s="13"/>
    </row>
    <row r="269" spans="1:8" ht="21" customHeight="1" outlineLevel="2">
      <c r="A269" s="88"/>
      <c r="B269" s="91"/>
      <c r="C269" s="73">
        <v>2021</v>
      </c>
      <c r="D269" s="13">
        <f t="shared" si="16"/>
        <v>505298.16327</v>
      </c>
      <c r="E269" s="13">
        <v>247596.1</v>
      </c>
      <c r="F269" s="13">
        <v>257702.06327</v>
      </c>
      <c r="G269" s="13"/>
      <c r="H269" s="13"/>
    </row>
    <row r="270" spans="1:8" ht="21" customHeight="1" outlineLevel="2">
      <c r="A270" s="88"/>
      <c r="B270" s="91"/>
      <c r="C270" s="73">
        <v>2022</v>
      </c>
      <c r="D270" s="13">
        <f t="shared" si="16"/>
        <v>486935.29412</v>
      </c>
      <c r="E270" s="13">
        <v>248337</v>
      </c>
      <c r="F270" s="13">
        <v>238598.29412</v>
      </c>
      <c r="G270" s="13"/>
      <c r="H270" s="13"/>
    </row>
    <row r="271" spans="1:8" ht="21" customHeight="1" outlineLevel="2">
      <c r="A271" s="88"/>
      <c r="B271" s="91"/>
      <c r="C271" s="73">
        <v>2023</v>
      </c>
      <c r="D271" s="13">
        <f t="shared" si="16"/>
        <v>248000</v>
      </c>
      <c r="E271" s="13"/>
      <c r="F271" s="13">
        <v>248000</v>
      </c>
      <c r="G271" s="13"/>
      <c r="H271" s="13"/>
    </row>
    <row r="272" spans="1:8" ht="21" customHeight="1" outlineLevel="2">
      <c r="A272" s="89"/>
      <c r="B272" s="92"/>
      <c r="C272" s="73">
        <v>2024</v>
      </c>
      <c r="D272" s="13">
        <f t="shared" si="16"/>
        <v>257000</v>
      </c>
      <c r="E272" s="13"/>
      <c r="F272" s="13">
        <v>257000</v>
      </c>
      <c r="G272" s="13"/>
      <c r="H272" s="13"/>
    </row>
    <row r="273" spans="1:8" ht="21" customHeight="1" outlineLevel="2">
      <c r="A273" s="94" t="s">
        <v>6</v>
      </c>
      <c r="B273" s="95"/>
      <c r="C273" s="73" t="s">
        <v>68</v>
      </c>
      <c r="D273" s="13">
        <f t="shared" si="16"/>
        <v>1996079.57984</v>
      </c>
      <c r="E273" s="13">
        <f>SUM(E268:E272)</f>
        <v>740367.7</v>
      </c>
      <c r="F273" s="13">
        <f>SUM(F268:F272)</f>
        <v>1255711.87984</v>
      </c>
      <c r="G273" s="13">
        <f>SUM(G268:G272)</f>
        <v>0</v>
      </c>
      <c r="H273" s="13">
        <f>SUM(H268:H272)</f>
        <v>0</v>
      </c>
    </row>
    <row r="274" spans="1:8" ht="21" customHeight="1" outlineLevel="2">
      <c r="A274" s="87" t="s">
        <v>75</v>
      </c>
      <c r="B274" s="90" t="s">
        <v>40</v>
      </c>
      <c r="C274" s="73">
        <v>2020</v>
      </c>
      <c r="D274" s="13">
        <f aca="true" t="shared" si="17" ref="D274:D279">E274+F274+G274+H274</f>
        <v>0</v>
      </c>
      <c r="E274" s="13"/>
      <c r="F274" s="13"/>
      <c r="G274" s="13"/>
      <c r="H274" s="13"/>
    </row>
    <row r="275" spans="1:8" ht="21" customHeight="1" outlineLevel="2">
      <c r="A275" s="88"/>
      <c r="B275" s="91"/>
      <c r="C275" s="73">
        <v>2021</v>
      </c>
      <c r="D275" s="13">
        <f t="shared" si="17"/>
        <v>1100</v>
      </c>
      <c r="E275" s="13"/>
      <c r="F275" s="13">
        <v>1100</v>
      </c>
      <c r="G275" s="13"/>
      <c r="H275" s="13"/>
    </row>
    <row r="276" spans="1:8" ht="21" customHeight="1" outlineLevel="2">
      <c r="A276" s="88"/>
      <c r="B276" s="91"/>
      <c r="C276" s="73">
        <v>2022</v>
      </c>
      <c r="D276" s="13">
        <f t="shared" si="17"/>
        <v>1100</v>
      </c>
      <c r="E276" s="13"/>
      <c r="F276" s="13">
        <v>1100</v>
      </c>
      <c r="G276" s="13"/>
      <c r="H276" s="13"/>
    </row>
    <row r="277" spans="1:8" ht="21" customHeight="1" outlineLevel="2">
      <c r="A277" s="88"/>
      <c r="B277" s="91"/>
      <c r="C277" s="73">
        <v>2023</v>
      </c>
      <c r="D277" s="13">
        <f t="shared" si="17"/>
        <v>1100</v>
      </c>
      <c r="E277" s="13"/>
      <c r="F277" s="13">
        <v>1100</v>
      </c>
      <c r="G277" s="13"/>
      <c r="H277" s="13"/>
    </row>
    <row r="278" spans="1:8" ht="21" customHeight="1" outlineLevel="2">
      <c r="A278" s="89"/>
      <c r="B278" s="92"/>
      <c r="C278" s="73">
        <v>2024</v>
      </c>
      <c r="D278" s="13">
        <f t="shared" si="17"/>
        <v>1100</v>
      </c>
      <c r="E278" s="13"/>
      <c r="F278" s="13">
        <v>1100</v>
      </c>
      <c r="G278" s="13"/>
      <c r="H278" s="13"/>
    </row>
    <row r="279" spans="1:8" ht="21" customHeight="1" outlineLevel="2">
      <c r="A279" s="94" t="s">
        <v>6</v>
      </c>
      <c r="B279" s="95"/>
      <c r="C279" s="73" t="s">
        <v>68</v>
      </c>
      <c r="D279" s="13">
        <f t="shared" si="17"/>
        <v>4400</v>
      </c>
      <c r="E279" s="13">
        <f>SUM(E274:E278)</f>
        <v>0</v>
      </c>
      <c r="F279" s="13">
        <f>SUM(F274:F278)</f>
        <v>4400</v>
      </c>
      <c r="G279" s="13">
        <f>SUM(G274:G278)</f>
        <v>0</v>
      </c>
      <c r="H279" s="13">
        <f>SUM(H274:H278)</f>
        <v>0</v>
      </c>
    </row>
    <row r="280" spans="1:10" ht="21" customHeight="1" outlineLevel="2">
      <c r="A280" s="87" t="s">
        <v>13</v>
      </c>
      <c r="B280" s="90" t="s">
        <v>40</v>
      </c>
      <c r="C280" s="73">
        <v>2020</v>
      </c>
      <c r="D280" s="13">
        <f aca="true" t="shared" si="18" ref="D280:D285">E280+F280+G280+H280</f>
        <v>568740.53143</v>
      </c>
      <c r="E280" s="13"/>
      <c r="F280" s="13">
        <v>568740.53143</v>
      </c>
      <c r="G280" s="13"/>
      <c r="H280" s="13"/>
      <c r="I280" s="38">
        <v>148140.85843000002</v>
      </c>
      <c r="J280" s="77"/>
    </row>
    <row r="281" spans="1:8" ht="21" customHeight="1" outlineLevel="2">
      <c r="A281" s="88"/>
      <c r="B281" s="91"/>
      <c r="C281" s="73">
        <v>2021</v>
      </c>
      <c r="D281" s="13">
        <f t="shared" si="18"/>
        <v>435000</v>
      </c>
      <c r="E281" s="13"/>
      <c r="F281" s="13">
        <v>435000</v>
      </c>
      <c r="G281" s="13"/>
      <c r="H281" s="13"/>
    </row>
    <row r="282" spans="1:8" ht="21" customHeight="1" outlineLevel="2">
      <c r="A282" s="88"/>
      <c r="B282" s="91"/>
      <c r="C282" s="73">
        <v>2022</v>
      </c>
      <c r="D282" s="13">
        <f t="shared" si="18"/>
        <v>435000</v>
      </c>
      <c r="E282" s="13"/>
      <c r="F282" s="13">
        <v>435000</v>
      </c>
      <c r="G282" s="13"/>
      <c r="H282" s="13"/>
    </row>
    <row r="283" spans="1:8" ht="21" customHeight="1" outlineLevel="2">
      <c r="A283" s="88"/>
      <c r="B283" s="91"/>
      <c r="C283" s="73">
        <v>2023</v>
      </c>
      <c r="D283" s="13">
        <f t="shared" si="18"/>
        <v>435000</v>
      </c>
      <c r="E283" s="13"/>
      <c r="F283" s="13">
        <v>435000</v>
      </c>
      <c r="G283" s="13"/>
      <c r="H283" s="13"/>
    </row>
    <row r="284" spans="1:8" ht="21" customHeight="1" outlineLevel="2">
      <c r="A284" s="89"/>
      <c r="B284" s="92"/>
      <c r="C284" s="73">
        <v>2024</v>
      </c>
      <c r="D284" s="13">
        <f t="shared" si="18"/>
        <v>435000</v>
      </c>
      <c r="E284" s="13"/>
      <c r="F284" s="13">
        <v>435000</v>
      </c>
      <c r="G284" s="13"/>
      <c r="H284" s="13"/>
    </row>
    <row r="285" spans="1:8" ht="21" customHeight="1" outlineLevel="2">
      <c r="A285" s="94" t="s">
        <v>6</v>
      </c>
      <c r="B285" s="95"/>
      <c r="C285" s="73" t="s">
        <v>68</v>
      </c>
      <c r="D285" s="13">
        <f t="shared" si="18"/>
        <v>2308740.53143</v>
      </c>
      <c r="E285" s="13">
        <f>SUM(E280:E284)</f>
        <v>0</v>
      </c>
      <c r="F285" s="13">
        <f>SUM(F280:F284)</f>
        <v>2308740.53143</v>
      </c>
      <c r="G285" s="13">
        <f>SUM(G280:G284)</f>
        <v>0</v>
      </c>
      <c r="H285" s="13">
        <f>SUM(H280:H284)</f>
        <v>0</v>
      </c>
    </row>
    <row r="286" spans="1:12" ht="23.25" customHeight="1" outlineLevel="2">
      <c r="A286" s="87" t="s">
        <v>73</v>
      </c>
      <c r="B286" s="90" t="s">
        <v>65</v>
      </c>
      <c r="C286" s="73">
        <v>2020</v>
      </c>
      <c r="D286" s="13"/>
      <c r="E286" s="13"/>
      <c r="F286" s="13"/>
      <c r="G286" s="13"/>
      <c r="H286" s="13"/>
      <c r="J286" s="81"/>
      <c r="K286" s="5"/>
      <c r="L286" s="5"/>
    </row>
    <row r="287" spans="1:12" ht="21" customHeight="1" outlineLevel="2">
      <c r="A287" s="88"/>
      <c r="B287" s="91"/>
      <c r="C287" s="73">
        <v>2021</v>
      </c>
      <c r="D287" s="13"/>
      <c r="E287" s="13"/>
      <c r="F287" s="13"/>
      <c r="G287" s="13"/>
      <c r="H287" s="13"/>
      <c r="J287" s="81"/>
      <c r="K287" s="5"/>
      <c r="L287" s="5"/>
    </row>
    <row r="288" spans="1:12" ht="21" customHeight="1" outlineLevel="2">
      <c r="A288" s="88"/>
      <c r="B288" s="91"/>
      <c r="C288" s="73">
        <v>2022</v>
      </c>
      <c r="D288" s="13"/>
      <c r="E288" s="13"/>
      <c r="F288" s="13"/>
      <c r="G288" s="13"/>
      <c r="H288" s="13"/>
      <c r="J288" s="81"/>
      <c r="K288" s="5"/>
      <c r="L288" s="5"/>
    </row>
    <row r="289" spans="1:12" ht="21" customHeight="1" outlineLevel="2">
      <c r="A289" s="88"/>
      <c r="B289" s="91"/>
      <c r="C289" s="73">
        <v>2023</v>
      </c>
      <c r="D289" s="13"/>
      <c r="E289" s="13"/>
      <c r="F289" s="13"/>
      <c r="G289" s="13"/>
      <c r="H289" s="13"/>
      <c r="J289" s="81"/>
      <c r="K289" s="5"/>
      <c r="L289" s="5"/>
    </row>
    <row r="290" spans="1:12" ht="21" customHeight="1" outlineLevel="2">
      <c r="A290" s="89"/>
      <c r="B290" s="92"/>
      <c r="C290" s="73">
        <v>2024</v>
      </c>
      <c r="D290" s="13"/>
      <c r="E290" s="13"/>
      <c r="F290" s="13"/>
      <c r="G290" s="13"/>
      <c r="H290" s="13"/>
      <c r="J290" s="81"/>
      <c r="K290" s="5"/>
      <c r="L290" s="5"/>
    </row>
    <row r="291" spans="1:12" ht="21" customHeight="1" outlineLevel="2">
      <c r="A291" s="86" t="s">
        <v>7</v>
      </c>
      <c r="B291" s="86"/>
      <c r="C291" s="73" t="s">
        <v>68</v>
      </c>
      <c r="D291" s="13">
        <f>SUM(D286:D290)</f>
        <v>0</v>
      </c>
      <c r="E291" s="13">
        <f>SUM(E286:E290)</f>
        <v>0</v>
      </c>
      <c r="F291" s="13">
        <f>SUM(F286:F290)</f>
        <v>0</v>
      </c>
      <c r="G291" s="13">
        <f>SUM(G286:G290)</f>
        <v>0</v>
      </c>
      <c r="H291" s="13">
        <f>SUM(H286:H290)</f>
        <v>0</v>
      </c>
      <c r="J291" s="81"/>
      <c r="K291" s="5"/>
      <c r="L291" s="5"/>
    </row>
    <row r="292" spans="1:8" ht="21" customHeight="1" outlineLevel="2">
      <c r="A292" s="27"/>
      <c r="B292" s="27"/>
      <c r="C292" s="5"/>
      <c r="D292" s="1"/>
      <c r="E292" s="1"/>
      <c r="F292" s="1"/>
      <c r="G292" s="1"/>
      <c r="H292" s="1"/>
    </row>
    <row r="293" spans="1:8" ht="48" customHeight="1">
      <c r="A293" s="106"/>
      <c r="B293" s="106"/>
      <c r="C293" s="106"/>
      <c r="D293" s="106"/>
      <c r="E293" s="106"/>
      <c r="F293" s="106"/>
      <c r="G293" s="106"/>
      <c r="H293" s="106"/>
    </row>
    <row r="294" spans="1:8" ht="15">
      <c r="A294" s="18"/>
      <c r="B294" s="19"/>
      <c r="C294" s="18"/>
      <c r="D294" s="49"/>
      <c r="E294" s="60"/>
      <c r="F294" s="49"/>
      <c r="G294" s="18"/>
      <c r="H294" s="18"/>
    </row>
    <row r="295" spans="1:8" ht="15">
      <c r="A295" s="18"/>
      <c r="B295" s="19"/>
      <c r="C295" s="18"/>
      <c r="D295" s="49"/>
      <c r="E295" s="60"/>
      <c r="F295" s="49"/>
      <c r="G295" s="18"/>
      <c r="H295" s="18"/>
    </row>
    <row r="296" spans="1:8" ht="15">
      <c r="A296" s="18"/>
      <c r="B296" s="19"/>
      <c r="C296" s="18"/>
      <c r="D296" s="49"/>
      <c r="E296" s="60"/>
      <c r="F296" s="49"/>
      <c r="G296" s="18"/>
      <c r="H296" s="18"/>
    </row>
    <row r="297" spans="1:8" ht="15">
      <c r="A297" s="20"/>
      <c r="B297" s="4"/>
      <c r="C297" s="5"/>
      <c r="D297" s="50"/>
      <c r="E297" s="61"/>
      <c r="F297" s="50"/>
      <c r="G297" s="8"/>
      <c r="H297" s="8"/>
    </row>
    <row r="298" spans="1:8" ht="15">
      <c r="A298" s="20"/>
      <c r="B298" s="4"/>
      <c r="C298" s="5"/>
      <c r="D298" s="50"/>
      <c r="E298" s="61"/>
      <c r="F298" s="50"/>
      <c r="G298" s="8"/>
      <c r="H298" s="8"/>
    </row>
    <row r="299" spans="1:8" ht="15">
      <c r="A299" s="21"/>
      <c r="B299" s="22"/>
      <c r="C299" s="23"/>
      <c r="D299" s="51"/>
      <c r="E299" s="62"/>
      <c r="F299" s="51"/>
      <c r="G299" s="24"/>
      <c r="H299" s="24"/>
    </row>
    <row r="300" spans="1:8" ht="15">
      <c r="A300" s="18"/>
      <c r="B300" s="19"/>
      <c r="C300" s="18"/>
      <c r="D300" s="63"/>
      <c r="E300" s="64"/>
      <c r="F300" s="49"/>
      <c r="G300" s="18"/>
      <c r="H300" s="18"/>
    </row>
    <row r="301" spans="1:8" ht="15">
      <c r="A301" s="18"/>
      <c r="B301" s="19"/>
      <c r="C301" s="18"/>
      <c r="D301" s="63"/>
      <c r="E301" s="64"/>
      <c r="F301" s="49"/>
      <c r="G301" s="18"/>
      <c r="H301" s="18"/>
    </row>
    <row r="302" spans="1:8" ht="15">
      <c r="A302" s="18"/>
      <c r="B302" s="19"/>
      <c r="C302" s="18"/>
      <c r="D302" s="63"/>
      <c r="E302" s="64"/>
      <c r="F302" s="49"/>
      <c r="G302" s="18"/>
      <c r="H302" s="18"/>
    </row>
  </sheetData>
  <sheetProtection/>
  <mergeCells count="146">
    <mergeCell ref="B268:B272"/>
    <mergeCell ref="A261:B261"/>
    <mergeCell ref="A267:B267"/>
    <mergeCell ref="B236:B242"/>
    <mergeCell ref="A204:A210"/>
    <mergeCell ref="A255:B255"/>
    <mergeCell ref="A250:A254"/>
    <mergeCell ref="B250:B254"/>
    <mergeCell ref="A262:A266"/>
    <mergeCell ref="B262:B266"/>
    <mergeCell ref="A273:B273"/>
    <mergeCell ref="A256:A260"/>
    <mergeCell ref="B256:B260"/>
    <mergeCell ref="A286:A290"/>
    <mergeCell ref="B286:B290"/>
    <mergeCell ref="A291:B291"/>
    <mergeCell ref="A285:B285"/>
    <mergeCell ref="A274:A278"/>
    <mergeCell ref="B274:B278"/>
    <mergeCell ref="A279:B279"/>
    <mergeCell ref="A268:A272"/>
    <mergeCell ref="A34:A35"/>
    <mergeCell ref="B34:B35"/>
    <mergeCell ref="A37:A38"/>
    <mergeCell ref="B37:B38"/>
    <mergeCell ref="A40:A41"/>
    <mergeCell ref="B40:B41"/>
    <mergeCell ref="A186:A187"/>
    <mergeCell ref="A201:A202"/>
    <mergeCell ref="A164:A165"/>
    <mergeCell ref="B164:B165"/>
    <mergeCell ref="A19:A20"/>
    <mergeCell ref="B19:B20"/>
    <mergeCell ref="A22:A23"/>
    <mergeCell ref="B22:B23"/>
    <mergeCell ref="A25:A26"/>
    <mergeCell ref="B25:B26"/>
    <mergeCell ref="A24:B24"/>
    <mergeCell ref="A97:A103"/>
    <mergeCell ref="B97:B103"/>
    <mergeCell ref="A28:A29"/>
    <mergeCell ref="B28:B29"/>
    <mergeCell ref="A200:B200"/>
    <mergeCell ref="A147:B147"/>
    <mergeCell ref="A140:A146"/>
    <mergeCell ref="B140:B146"/>
    <mergeCell ref="A197:B197"/>
    <mergeCell ref="A148:A154"/>
    <mergeCell ref="A156:A162"/>
    <mergeCell ref="B156:B162"/>
    <mergeCell ref="B113:B119"/>
    <mergeCell ref="B148:B154"/>
    <mergeCell ref="A155:B155"/>
    <mergeCell ref="A105:A111"/>
    <mergeCell ref="B65:B71"/>
    <mergeCell ref="A129:A130"/>
    <mergeCell ref="B129:B130"/>
    <mergeCell ref="A72:B72"/>
    <mergeCell ref="A89:A95"/>
    <mergeCell ref="B121:B126"/>
    <mergeCell ref="A104:B104"/>
    <mergeCell ref="B105:B111"/>
    <mergeCell ref="B81:B87"/>
    <mergeCell ref="A81:A87"/>
    <mergeCell ref="A49:A55"/>
    <mergeCell ref="B57:B63"/>
    <mergeCell ref="A57:A63"/>
    <mergeCell ref="A43:A44"/>
    <mergeCell ref="B43:B44"/>
    <mergeCell ref="A46:A47"/>
    <mergeCell ref="B46:B47"/>
    <mergeCell ref="A56:B56"/>
    <mergeCell ref="B49:B55"/>
    <mergeCell ref="D3:H3"/>
    <mergeCell ref="D7:H7"/>
    <mergeCell ref="A21:B21"/>
    <mergeCell ref="A11:B17"/>
    <mergeCell ref="B73:B79"/>
    <mergeCell ref="A73:A79"/>
    <mergeCell ref="A5:H5"/>
    <mergeCell ref="A7:A8"/>
    <mergeCell ref="B7:B8"/>
    <mergeCell ref="C7:C8"/>
    <mergeCell ref="A18:B18"/>
    <mergeCell ref="A10:H10"/>
    <mergeCell ref="A65:A71"/>
    <mergeCell ref="A31:A32"/>
    <mergeCell ref="B31:B32"/>
    <mergeCell ref="A131:B131"/>
    <mergeCell ref="A128:B128"/>
    <mergeCell ref="A120:B120"/>
    <mergeCell ref="A27:B27"/>
    <mergeCell ref="B89:B95"/>
    <mergeCell ref="A192:A193"/>
    <mergeCell ref="B192:B193"/>
    <mergeCell ref="A195:A196"/>
    <mergeCell ref="B201:B202"/>
    <mergeCell ref="B204:B210"/>
    <mergeCell ref="A194:B194"/>
    <mergeCell ref="B195:B196"/>
    <mergeCell ref="A198:A199"/>
    <mergeCell ref="B198:B199"/>
    <mergeCell ref="A227:B227"/>
    <mergeCell ref="A203:B203"/>
    <mergeCell ref="A236:A242"/>
    <mergeCell ref="A220:A226"/>
    <mergeCell ref="B220:B226"/>
    <mergeCell ref="B212:B218"/>
    <mergeCell ref="A211:B211"/>
    <mergeCell ref="B228:B234"/>
    <mergeCell ref="A280:A284"/>
    <mergeCell ref="B280:B284"/>
    <mergeCell ref="A167:A173"/>
    <mergeCell ref="A243:B243"/>
    <mergeCell ref="A235:B235"/>
    <mergeCell ref="A212:A218"/>
    <mergeCell ref="A191:B191"/>
    <mergeCell ref="A228:A234"/>
    <mergeCell ref="A219:B219"/>
    <mergeCell ref="A177:A178"/>
    <mergeCell ref="B177:B178"/>
    <mergeCell ref="A182:B182"/>
    <mergeCell ref="A179:B179"/>
    <mergeCell ref="A293:H293"/>
    <mergeCell ref="A113:A119"/>
    <mergeCell ref="A121:A127"/>
    <mergeCell ref="B132:B138"/>
    <mergeCell ref="A132:A138"/>
    <mergeCell ref="A139:B139"/>
    <mergeCell ref="B189:B190"/>
    <mergeCell ref="A180:A181"/>
    <mergeCell ref="B180:B181"/>
    <mergeCell ref="A183:A184"/>
    <mergeCell ref="B183:B184"/>
    <mergeCell ref="A188:B188"/>
    <mergeCell ref="A249:B249"/>
    <mergeCell ref="A244:A248"/>
    <mergeCell ref="B244:B248"/>
    <mergeCell ref="A1:H2"/>
    <mergeCell ref="A174:B174"/>
    <mergeCell ref="A185:B185"/>
    <mergeCell ref="B167:B173"/>
    <mergeCell ref="B186:B187"/>
    <mergeCell ref="B175:B176"/>
    <mergeCell ref="A189:A190"/>
  </mergeCells>
  <printOptions/>
  <pageMargins left="0.2362204724409449" right="0.2362204724409449" top="0.5511811023622047" bottom="0.5511811023622047" header="0" footer="0"/>
  <pageSetup fitToHeight="0" fitToWidth="1" horizontalDpi="600" verticalDpi="600" orientation="landscape" paperSize="9" scale="92" r:id="rId1"/>
  <headerFooter alignWithMargins="0">
    <oddFooter>&amp;CСтраница &amp;P</oddFooter>
  </headerFooter>
  <rowBreaks count="14" manualBreakCount="14">
    <brk id="24" max="7" man="1"/>
    <brk id="42" max="7" man="1"/>
    <brk id="64" max="7" man="1"/>
    <brk id="88" max="7" man="1"/>
    <brk id="112" max="7" man="1"/>
    <brk id="131" max="7" man="1"/>
    <brk id="155" max="7" man="1"/>
    <brk id="174" max="7" man="1"/>
    <brk id="182" max="7" man="1"/>
    <brk id="191" max="7" man="1"/>
    <brk id="203" max="7" man="1"/>
    <brk id="227" max="7" man="1"/>
    <brk id="249" max="7" man="1"/>
    <brk id="272" max="7" man="1"/>
  </rowBreaks>
  <ignoredErrors>
    <ignoredError sqref="F11 F72:G72 G81 F80:G80 G79 G74 G75:G76 F89:G89 G82 G83:G84 F96 G90 G91:G92 G73 G77 G85 G93 G78 G86 G87 G94 G95 D18 D139 F88 F56 F178 D26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7">
      <selection activeCell="K31" sqref="K31"/>
    </sheetView>
  </sheetViews>
  <sheetFormatPr defaultColWidth="9.33203125" defaultRowHeight="11.25"/>
  <cols>
    <col min="2" max="2" width="13.66015625" style="0" customWidth="1"/>
    <col min="3" max="7" width="9.33203125" style="0" customWidth="1"/>
  </cols>
  <sheetData/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Боярчик Денис В.</dc:creator>
  <cp:keywords/>
  <dc:description/>
  <cp:lastModifiedBy>Александра Леонидовна Первакова</cp:lastModifiedBy>
  <cp:lastPrinted>2020-11-26T17:37:31Z</cp:lastPrinted>
  <dcterms:created xsi:type="dcterms:W3CDTF">2011-11-21T08:40:26Z</dcterms:created>
  <dcterms:modified xsi:type="dcterms:W3CDTF">2020-12-11T05:54:41Z</dcterms:modified>
  <cp:category/>
  <cp:version/>
  <cp:contentType/>
  <cp:contentStatus/>
  <cp:revision>1</cp:revision>
</cp:coreProperties>
</file>