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2020" sheetId="1" state="visible" r:id="rId1"/>
  </sheets>
  <definedNames>
    <definedName name="_xlnm.Print_Area" localSheetId="0">2020!$A$1:$P$247</definedName>
    <definedName name="BossProviderVariable?_4734b16a_f4df_41a6_99f8_bba26a0bdebf" hidden="1">"25_01_2006"</definedName>
  </definedNames>
  <calcPr/>
</workbook>
</file>

<file path=xl/sharedStrings.xml><?xml version="1.0" encoding="utf-8"?>
<sst xmlns="http://schemas.openxmlformats.org/spreadsheetml/2006/main" count="431" uniqueCount="431">
  <si>
    <t>УТВЕРЖДЕН</t>
  </si>
  <si>
    <t xml:space="preserve">постановлением Правительства</t>
  </si>
  <si>
    <t xml:space="preserve">Ленинградской области</t>
  </si>
  <si>
    <t xml:space="preserve">от 27.11.2015 № 444</t>
  </si>
  <si>
    <t xml:space="preserve">(в редакции постановления Правительства</t>
  </si>
  <si>
    <t xml:space="preserve">Ленинградской области от "__"_____ №_____)</t>
  </si>
  <si>
    <t xml:space="preserve">(приложение 1 )</t>
  </si>
  <si>
    <t>ПЕРЕЧЕНЬ</t>
  </si>
  <si>
    <t xml:space="preserve">объектов государственной программы Ленинградской области </t>
  </si>
  <si>
    <t xml:space="preserve">"Развитие физической культуры и спорта в Ленинградской области"</t>
  </si>
  <si>
    <t xml:space="preserve"> 
 </t>
  </si>
  <si>
    <t xml:space="preserve">№                п/п</t>
  </si>
  <si>
    <t xml:space="preserve">Наименование объекта и местонахождение объекта</t>
  </si>
  <si>
    <t xml:space="preserve"> Проектная мощность</t>
  </si>
  <si>
    <t xml:space="preserve">Сроки реализации</t>
  </si>
  <si>
    <t xml:space="preserve"> Информация                  о состоянии проектно-сметной документации</t>
  </si>
  <si>
    <t xml:space="preserve">Утвержденная и (или) прогнозируемая сметная стоимость объекта</t>
  </si>
  <si>
    <t>Бюджетополучатель</t>
  </si>
  <si>
    <t>Заказчик</t>
  </si>
  <si>
    <t xml:space="preserve">Финансовый год</t>
  </si>
  <si>
    <t xml:space="preserve">Плановый объем финансирования (тыс. рублей)</t>
  </si>
  <si>
    <t xml:space="preserve">Фактические расходы на создание объекта (нарастающим итогом) по состоянию на 01.01.2026</t>
  </si>
  <si>
    <t>всего</t>
  </si>
  <si>
    <t xml:space="preserve">федеральный бюджет</t>
  </si>
  <si>
    <t xml:space="preserve">областной бюджет</t>
  </si>
  <si>
    <t xml:space="preserve">местный бюджет</t>
  </si>
  <si>
    <t xml:space="preserve">прочие источники</t>
  </si>
  <si>
    <t xml:space="preserve">1. Отраслевой проект «Развитие объектов физической культуры и спорта», федеральный проект «Развитие физической культуры и массового спорта»</t>
  </si>
  <si>
    <t>1.1</t>
  </si>
  <si>
    <t xml:space="preserve">"Биатлонно- лыжный комплекс 
в пос. Шапки Тосненского района" (1 этап строительства)
по адресу: Ленинградская область, Тосненский район, 
пос. Шапки
</t>
  </si>
  <si>
    <t xml:space="preserve">2020-               2025</t>
  </si>
  <si>
    <t xml:space="preserve">№ 47-1-1-3-0091-18 
от 26 марта 
2018 года   (по проекту)                    № 47-1-0046-18 от 26 марта 
2018 года 
(по смете)                № 47-1-1-3-053854-2024
от 13 сентября 
2024 года 
(по проекту, инженерным изысканиям, смете), 
</t>
  </si>
  <si>
    <t xml:space="preserve">199375,50 
(в ценах
2017, 2022, 2023 годов,
в том числе ПИР – 3381,36)
</t>
  </si>
  <si>
    <t xml:space="preserve">Тосненское городское поселение Тосненского 
муниципального
района
</t>
  </si>
  <si>
    <t xml:space="preserve">Администрация муниципального образования Тосненский 
район Ленинградской области
</t>
  </si>
  <si>
    <t>2022</t>
  </si>
  <si>
    <t>2023</t>
  </si>
  <si>
    <t>2024</t>
  </si>
  <si>
    <t>2025</t>
  </si>
  <si>
    <t>24465,17625-Ю</t>
  </si>
  <si>
    <t>1.1.1</t>
  </si>
  <si>
    <t>ПИР</t>
  </si>
  <si>
    <t>1.1.2</t>
  </si>
  <si>
    <t>СМР</t>
  </si>
  <si>
    <t>1.2</t>
  </si>
  <si>
    <t xml:space="preserve">Физкультурно-оздоровительный комплекс 
с 25-метровым плавательным бассейном 
и универсальным игровым залом 
в г.п. Виллози Ломоносовского муниципального района Ленинградской области
</t>
  </si>
  <si>
    <t xml:space="preserve">2019-              2026</t>
  </si>
  <si>
    <t xml:space="preserve">№ 47-1-1-2-038757-2024 от 17 июля
2024 года
(по смете),
№ 0043-2021 от 12 мая
2021 года (по проекту),
заключение экспертизы по результатам экспертного сопровождения от 25 января 2021 года
                                                            №47-1-1-2-077240-2024 от 18 декабря 2024 года                                                                №47-1-1-2-035419-2025  от 25 июня 2025 года</t>
  </si>
  <si>
    <t xml:space="preserve">756733,07 (в ценах 2018, 2020- 2021 и 2024-2025 годов, в том числе ПИР-6313,55)                                                           </t>
  </si>
  <si>
    <t xml:space="preserve">Виллозское городское поселение Ломоносовского муниципального района</t>
  </si>
  <si>
    <t xml:space="preserve">Администрация Виллозского городского поселения Ломоносовского муниципального района</t>
  </si>
  <si>
    <t>2026</t>
  </si>
  <si>
    <t>1.2.1</t>
  </si>
  <si>
    <t>1.2.2</t>
  </si>
  <si>
    <t>1.3</t>
  </si>
  <si>
    <t xml:space="preserve">Физкультурно-оздоровительный комплекс 
с плавательным бассейном 
в г. Шлиссельбург, 
ул. Леманский канал, уч. 6 (в том числе проектные работы)
</t>
  </si>
  <si>
    <t xml:space="preserve">2023-           2026</t>
  </si>
  <si>
    <t xml:space="preserve">№ 47-1-1-3-053993-2024                от 13 сентября 2024 года</t>
  </si>
  <si>
    <t xml:space="preserve">595815,38 (в ценах 2024 года, в том числе ПИР – 14209,26)
</t>
  </si>
  <si>
    <t xml:space="preserve"> Кировский муниципальный район, ГКУ "Управление строительства Ленинградской области"</t>
  </si>
  <si>
    <t xml:space="preserve">Муниципальное казенное учреждение "Управление капитального строительства" Кировского муниципального района  Ленинградской области, ГКУ "Управление строительства Ленинградской области"</t>
  </si>
  <si>
    <t>1.3.1</t>
  </si>
  <si>
    <t>1.3.2</t>
  </si>
  <si>
    <t>1.4</t>
  </si>
  <si>
    <t xml:space="preserve">Реконструкция стадиона «Нефтяник», расположенного по адресу: Ленинградская область, г. Кириши, ул. Строителей, д.5 </t>
  </si>
  <si>
    <t xml:space="preserve">2024-         2026</t>
  </si>
  <si>
    <t xml:space="preserve">№47-1-1-3-065147-2020 от 18 декабря 2020 года                             №47-11-2-029502-2025 от 29 мая 2025 года, №47-1-1-2-052403-2025 от 4 сентября 2025 года</t>
  </si>
  <si>
    <t xml:space="preserve">611 211, 12929 (в ценах 2025 года)</t>
  </si>
  <si>
    <t xml:space="preserve">Киришское городское поселение Киришского муниципального района </t>
  </si>
  <si>
    <t xml:space="preserve">Муниципальное казенное учреждение "Управление проектно- строительных работ муниципального образования Киришское городское поселение Киришского муниципального района Ленинградской области"</t>
  </si>
  <si>
    <t>1.4.1</t>
  </si>
  <si>
    <t>1.4.2</t>
  </si>
  <si>
    <t>1.5</t>
  </si>
  <si>
    <t xml:space="preserve">Физкультурно-оздоровительный комплекс с универсальным игровым залом по адресу: Ленинградская область,
Всеволожский муниципальный район, Дубровское городское поселение, городское поселение Дубровка, ул. Школьная
</t>
  </si>
  <si>
    <t xml:space="preserve">2024-                      2025</t>
  </si>
  <si>
    <t xml:space="preserve"> № 47-1-1-3-065059-2023 от 27 октября 2023 года</t>
  </si>
  <si>
    <t xml:space="preserve">264 116,97 (в ценах 2022года, в том числе ПИР- 3 174,41)</t>
  </si>
  <si>
    <t xml:space="preserve">Дубровское городское поселение Всеволожского муниципального района</t>
  </si>
  <si>
    <t>1.5.1</t>
  </si>
  <si>
    <t>1.5.2</t>
  </si>
  <si>
    <t>1.6</t>
  </si>
  <si>
    <t xml:space="preserve">Строительство стадиона с футбольным полем с искусственным покрытием
по адресу: Ленинградская область, Подпорожский муниципальный район, Подпорожское городское поселение,
г. Подпорожье, ул. Парковая, участок №15</t>
  </si>
  <si>
    <t xml:space="preserve">2024-                      2026</t>
  </si>
  <si>
    <t xml:space="preserve">№ 47-1-1-2-047784-2020 от 28 сентября 2020 года</t>
  </si>
  <si>
    <t xml:space="preserve">132720,12 (в ценах 2020года, в том числе ПИР- 1934,46)</t>
  </si>
  <si>
    <t xml:space="preserve">Подпорожский муниципальный район</t>
  </si>
  <si>
    <t>1.6.1</t>
  </si>
  <si>
    <t>1.6.2</t>
  </si>
  <si>
    <t>1.7</t>
  </si>
  <si>
    <r>
      <rPr>
        <sz val="14"/>
        <rFont val="Times New Roman"/>
      </rPr>
      <t xml:space="preserve">Физкультурно-оздоровительный комплекс с универсальным игровым залом по адресу: Ленинградская область, г. Лодейное поле, ул. Гагарина, уч. 1а, </t>
    </r>
    <r>
      <rPr>
        <b/>
        <sz val="14"/>
        <color indexed="2"/>
        <rFont val="Times New Roman"/>
      </rPr>
      <t xml:space="preserve">в т.ч. оплата договоров на технологическое присоединение  </t>
    </r>
  </si>
  <si>
    <t xml:space="preserve">2026-     2027</t>
  </si>
  <si>
    <t xml:space="preserve">№47-1-1-3-031610-2025 от 6 июня 2025 года</t>
  </si>
  <si>
    <t xml:space="preserve">269663,83 (в ценах 2024 года, в том числе ПИР-4792,29)</t>
  </si>
  <si>
    <t xml:space="preserve">Лодейнопольское городское поселение Лодейнопольского муниципального района </t>
  </si>
  <si>
    <t>2027</t>
  </si>
  <si>
    <t>1.7.1</t>
  </si>
  <si>
    <t>1.7.2</t>
  </si>
  <si>
    <t>1.8.</t>
  </si>
  <si>
    <t xml:space="preserve">Создание (строительство) и эксплуатация объекта спорта –плавательного бассейна 
в г. Сертолово    
в рамках концессионного соглашения
</t>
  </si>
  <si>
    <t xml:space="preserve">2019-     2026</t>
  </si>
  <si>
    <t xml:space="preserve">№ 47-1-1-3-031643-2019 
от 14 ноября 2019 года
(по проекту), 
№ 47-1-0211-19 
от 14 ноября 2019 года, 
№ 47-1-1-2-081729-2022 
от 22 ноября 2022 года
(по смете) 
</t>
  </si>
  <si>
    <t xml:space="preserve">1008204,95
(в ценах
2022 года)
</t>
  </si>
  <si>
    <t xml:space="preserve">ООО                           "Бассейны "Атлантика"</t>
  </si>
  <si>
    <t>1.9.</t>
  </si>
  <si>
    <t xml:space="preserve">Строительство крытого катка 
с искусственным льдом 
на земельном участке 
по адресу: Ленинградская область, Всеволожский муниципальный район, 
г. Всеволожск, 
ул. Нагорная, участок 43 
</t>
  </si>
  <si>
    <t xml:space="preserve">2022-        2025</t>
  </si>
  <si>
    <t xml:space="preserve">№ 47-1-1-3-033218-2020 
от 22 июля 
2020 года, 
№ 47-1-1-2-
093618-2022 
от 28 декабря 2022 года
№47-1-1-3-007145-2025 от 13 февраля 2025 года</t>
  </si>
  <si>
    <t xml:space="preserve">781957,17
(в ценах
2020,2024 годов,
в том числе ПИР – 11684,75)
</t>
  </si>
  <si>
    <t xml:space="preserve">Всеволожский муниципальный район</t>
  </si>
  <si>
    <t xml:space="preserve">Муниципальное казенное учреждение "Единая служба заказчика" Всеволожского района Ленинградской области</t>
  </si>
  <si>
    <t>1.9.1</t>
  </si>
  <si>
    <t>1.9.2</t>
  </si>
  <si>
    <t>1.10.</t>
  </si>
  <si>
    <r>
      <rPr>
        <sz val="14"/>
        <rFont val="Times New Roman"/>
      </rPr>
      <t xml:space="preserve">Спортивный объект (футбольное поле). Адрес: Ленинградская область, Волховский муниципальный район, МО Новоладожское городское поселение, город Новая Ладога, улица Суворова, 12и, </t>
    </r>
    <r>
      <rPr>
        <b/>
        <sz val="14"/>
        <color indexed="2"/>
        <rFont val="Times New Roman"/>
      </rPr>
      <t xml:space="preserve">в т.ч. оплата договоров на технологическое присоединение  </t>
    </r>
  </si>
  <si>
    <t>2026-2027</t>
  </si>
  <si>
    <t xml:space="preserve">№ 47-1-1-2-061602-2023 
от 12 октября 
2023 года
</t>
  </si>
  <si>
    <t xml:space="preserve">125192,04
(в ценах
2023 года)
</t>
  </si>
  <si>
    <t xml:space="preserve">Новоладожское городское поселение Волховского муниципального района</t>
  </si>
  <si>
    <t>1.10.1</t>
  </si>
  <si>
    <t>1.10.2</t>
  </si>
  <si>
    <t xml:space="preserve">Отраслевой проект «Развитие объектов физической культуры и спорта», Федеральный проект «Развитие физической культуры и массового спорта»</t>
  </si>
  <si>
    <t xml:space="preserve">Итого по отраслевому проекту «Развитие объектов физической культуры и спорта», федеральному проекту «Развитие физической культуры и массового спорта»</t>
  </si>
  <si>
    <t>2028</t>
  </si>
  <si>
    <t>2029</t>
  </si>
  <si>
    <t>2030</t>
  </si>
  <si>
    <t xml:space="preserve">Всего по отраслевому проекту «Развитие объектов физической культуры и спорта», федеральному проекту «Развитие физической культуры и массового спорта»</t>
  </si>
  <si>
    <t>2022-2030</t>
  </si>
  <si>
    <t xml:space="preserve">2. Федеральный (региональный) проект "Спорт - норма жизни"</t>
  </si>
  <si>
    <t>2.2</t>
  </si>
  <si>
    <t>2.8</t>
  </si>
  <si>
    <t xml:space="preserve">№ 47-1-1-3-033218-2020 
от 22 июля 
2020 года, 
№ 47-1-1-2-
093618-2022 
от 28 декабря 2022 года
№47-1-1-3-007145-2025                        от 13 февраля 2025 года</t>
  </si>
  <si>
    <t>2.8.1</t>
  </si>
  <si>
    <t>2.8.2</t>
  </si>
  <si>
    <t xml:space="preserve">Итого по региональному  проекту «Спорт – норма жизни» </t>
  </si>
  <si>
    <t xml:space="preserve">Всего по региональному проекту «Спорт – норма жизни» </t>
  </si>
  <si>
    <t>2022-2024</t>
  </si>
  <si>
    <t xml:space="preserve">3. Капитальный ремонт объектов физической культуры и спорта ( отраслевой проект «Развитие объектов физической культуры и спорта»)</t>
  </si>
  <si>
    <t>3.1</t>
  </si>
  <si>
    <t xml:space="preserve">Капитальный ремонт объекта "Стадион", г. Шлиссельбург, ул. Октябрьская, д.2, в том числе тех. присоединение к инженерным сетям</t>
  </si>
  <si>
    <t xml:space="preserve">2021-  2026</t>
  </si>
  <si>
    <t xml:space="preserve">№ 47-1-1-2-010118-2021 
от 9 марта 
2021 года, 
№ 47-1-1-2-009507-2023 
от 1 марта 
2023 года,          №47-1-1-1-063577-2025 от 24 октября 2025 года</t>
  </si>
  <si>
    <t xml:space="preserve">147986,14        (в ценах 2020, 2022 и 2025 годов, 
в том числе ПИР – 1188,08)
</t>
  </si>
  <si>
    <t xml:space="preserve">Шлиссельбургское городское поселение Кировского муниципального района  </t>
  </si>
  <si>
    <t xml:space="preserve"> Администрация муниципального образования Шлиссельбургское городское поселение Кировского муниципального района Ленинградской области                </t>
  </si>
  <si>
    <t>3.1.1</t>
  </si>
  <si>
    <t>3.1.2</t>
  </si>
  <si>
    <t>3.2</t>
  </si>
  <si>
    <t xml:space="preserve">Капитальный ремонт спортивного объекта: "Стадион", расположенного по адресу: Ленинградская область, г. Тосно, парковая зона</t>
  </si>
  <si>
    <t xml:space="preserve">2022-     2025</t>
  </si>
  <si>
    <t xml:space="preserve">№ 47-1-1-2-057339-2021 
от 5 октября 2021 года,                          №47-1-1-2-076287-2023 от 12 декабря 2023 года
</t>
  </si>
  <si>
    <t xml:space="preserve">273240,49 (в ценах 2023 года, в том числе ПИР-4041,67)</t>
  </si>
  <si>
    <t xml:space="preserve">Тосненское городское поселение Тосненского
муниципального района
</t>
  </si>
  <si>
    <t xml:space="preserve">Администрация муниципального образования Тосненский район Ленинградской области</t>
  </si>
  <si>
    <t>3.2.1</t>
  </si>
  <si>
    <t>3.2.2</t>
  </si>
  <si>
    <t>3.3</t>
  </si>
  <si>
    <t xml:space="preserve">"Приспособление выявленного объекта культурного наследия "Центральный стадион 
г. Выборга" 
в составе: "Зрительские трибуны (южные)"; "Спортивное поле", "Зрительские трибуны (северные)" 
по адресу: Ленинградская область, 
г. Выборг, 
ул. Физкультурная, д. 2" 
для современного использования ("Капитальный ремонт стадиона "Авангард" МАУ "Спортивно- зрелищный комплекс "Фаворит") I этап ("Спортивное поле")
</t>
  </si>
  <si>
    <t>2023-2025</t>
  </si>
  <si>
    <t xml:space="preserve">№47-1-1-2-063542-2024                        от 29 октября 2024 года</t>
  </si>
  <si>
    <t xml:space="preserve">152504,11 (в ценах 2023 года)</t>
  </si>
  <si>
    <t xml:space="preserve">"Город Выборг" Выборгского района </t>
  </si>
  <si>
    <t xml:space="preserve">МАУ "Спортивно-зрелищный комплекс "Фаворит"</t>
  </si>
  <si>
    <t>3.3.1</t>
  </si>
  <si>
    <t>3.3.2</t>
  </si>
  <si>
    <t>3.4</t>
  </si>
  <si>
    <t xml:space="preserve">Капитальный ремонт "Физкультурно-оздоровительный комплекс ФОК, расположенный по адресу: Ленин-градская область, Подпорожский район, п. Вознесенье, ул. Горная, д. 28"</t>
  </si>
  <si>
    <t>2024-2025</t>
  </si>
  <si>
    <t xml:space="preserve">№ 47-1-1-2-066713-2020
от 23 декабря 2021 года,                                            №47-1-1-2-001197-2025                          от 17 января            2025 года
</t>
  </si>
  <si>
    <t xml:space="preserve">38435,07 (в ценах 2020, 2024 годов, в том числе ПИР-796,03)
</t>
  </si>
  <si>
    <t xml:space="preserve">Вознесенское городское поселение Подпорожского муниципального района</t>
  </si>
  <si>
    <t xml:space="preserve">Администрация муниципального образования "Вознесенское городское поселение Подпорожского муниципального района Ленинградской области"</t>
  </si>
  <si>
    <t>3.4.1</t>
  </si>
  <si>
    <t>3.4.2</t>
  </si>
  <si>
    <t>3.5</t>
  </si>
  <si>
    <t xml:space="preserve">Капитальный ремонт Дома спорта "Юность" по адресу: Ленинградская область, 
город Волхов, Волховский проспект, 26, 187402
</t>
  </si>
  <si>
    <t xml:space="preserve">№ 47-1-1-2-026372-2020
от 25 мая 
2021 года            №47-1-1-2-073583-2025 от 5 декабря 2025 года
</t>
  </si>
  <si>
    <t xml:space="preserve">141232,53
(в ценах
2020 года)
15710,96 в ценах 2025 года (в части спортивного зала)</t>
  </si>
  <si>
    <t xml:space="preserve">Город Волхов Волховского муниципального района</t>
  </si>
  <si>
    <t xml:space="preserve">Муниципальное бюджетное учреждение спорта Волховский физкультурно-спортивный центр "Волхов"</t>
  </si>
  <si>
    <t>3.5.1</t>
  </si>
  <si>
    <t>3.5.2</t>
  </si>
  <si>
    <t>3.6</t>
  </si>
  <si>
    <t xml:space="preserve">Капитальный ремонт здания МАУ "Лодейнопольская 
спортивная школа" 
по адресу: Ленинградская область, 
г. Лодейное поле, ул. Титова, д. 45, к. 1
</t>
  </si>
  <si>
    <t xml:space="preserve">№ 47-2-1-2-0190-21 
от 18 августа 2021 года
</t>
  </si>
  <si>
    <t xml:space="preserve">9831,47 
(в ценах
2021 года)
</t>
  </si>
  <si>
    <t xml:space="preserve">Лодейнопольский муниципальный район</t>
  </si>
  <si>
    <t xml:space="preserve">Администрация Лодейнопольского муниципального района</t>
  </si>
  <si>
    <t>3.6.1</t>
  </si>
  <si>
    <t>3.6.2</t>
  </si>
  <si>
    <t>3.7</t>
  </si>
  <si>
    <t xml:space="preserve">Капитальный ремонт ограждения и тренажеров открытой спортивной площадки по адресу: Ленинградская область, Ломоносовский район, дер. Пеники, ул. Новая, у д.16</t>
  </si>
  <si>
    <t xml:space="preserve">№ 0-2-1-0156-21    от 20 августа 2021 года</t>
  </si>
  <si>
    <t xml:space="preserve">4338,3912 
(в ценах
2021 года)
</t>
  </si>
  <si>
    <t xml:space="preserve">Пениковское сельское поселение Ломоносовского муниципального района</t>
  </si>
  <si>
    <t xml:space="preserve">Муниципальное бюджетное учреждение «Центр культуры, спорта и работы с молодежью» Пениковского сельского поселения Ломоносовского муниципального района Ленинградской области</t>
  </si>
  <si>
    <t>3.7.1</t>
  </si>
  <si>
    <t>3.7.2</t>
  </si>
  <si>
    <t>3.8</t>
  </si>
  <si>
    <t xml:space="preserve">Капитальный ремонт  УМП "Плавательный бассейн" по адресу: Ленинградская область, Кировский район, г. Кировск, ул. Молодежная, д.15</t>
  </si>
  <si>
    <t xml:space="preserve">2024-                2026</t>
  </si>
  <si>
    <t xml:space="preserve">№47-1-1-2-026288-2023                                  от 18 мая               2023 года, №47-1-1-2-064364-2025 от 28 октября 2025 года</t>
  </si>
  <si>
    <t xml:space="preserve">230101,72                (в ценах 2019,2022 и 2025 годов)</t>
  </si>
  <si>
    <t xml:space="preserve">Кировский муниципальный район</t>
  </si>
  <si>
    <t xml:space="preserve"> Муниципальное казенное учреждение "Управление капитального строительства" Кировского муниципального района  Ленинградской области</t>
  </si>
  <si>
    <t>3.8.1</t>
  </si>
  <si>
    <t>3.8.2</t>
  </si>
  <si>
    <t>3.9</t>
  </si>
  <si>
    <t xml:space="preserve">Капитальный ремонт универсальной спортивной площадки расположенной по адресу: 188931 Ленинградская область, Выборгский район, п. Селезнево </t>
  </si>
  <si>
    <t xml:space="preserve">№ 47-1-1-2-080666-2021 
от 21 декабря 2021 года 
</t>
  </si>
  <si>
    <t xml:space="preserve">34907,63 
(в ценах
2021 года)
</t>
  </si>
  <si>
    <t xml:space="preserve">Селезневское сельское поселение Выборгского муниципального района</t>
  </si>
  <si>
    <t xml:space="preserve">Администрация Селезневского сельского поселения Выборгского муниципального района </t>
  </si>
  <si>
    <t>3.9.1</t>
  </si>
  <si>
    <t>3.9.2</t>
  </si>
  <si>
    <t>3.10</t>
  </si>
  <si>
    <t xml:space="preserve">Капитальный ремонт открытого плоскостного физкультурно- спортивного сооружения в г.п. Красный Бор, ул. Культуры</t>
  </si>
  <si>
    <t xml:space="preserve">№ 07/3-02-22 
от 2 февраля 2022 года
</t>
  </si>
  <si>
    <t xml:space="preserve">3392,653 
(в ценах
2021 года)
</t>
  </si>
  <si>
    <t xml:space="preserve">Красноборское городское поселение Тосненского
муниципального района
</t>
  </si>
  <si>
    <t xml:space="preserve">Администрация Красноборского городского поселения Тосненского
муниципального района
</t>
  </si>
  <si>
    <t>3.10.1</t>
  </si>
  <si>
    <t>3.10.2</t>
  </si>
  <si>
    <t>3.11</t>
  </si>
  <si>
    <t xml:space="preserve">Капитальный ремонт 
спортивной площадки комплексного типа по адресу: Ленинградская область, Гатчинский район, 
д. Белогорка, 
ул. Спортивная
</t>
  </si>
  <si>
    <t xml:space="preserve">№ 0-2-1-0017-22 от 8 февраля 2022 года </t>
  </si>
  <si>
    <t xml:space="preserve">4874,0412 
(в ценах 
2022 года)
</t>
  </si>
  <si>
    <t xml:space="preserve">Гатчинский муниципальный округ</t>
  </si>
  <si>
    <t xml:space="preserve">Сиверское территориальное управление администрации муниципального образования Гатчинский муниципальный округ </t>
  </si>
  <si>
    <t>3.11.1</t>
  </si>
  <si>
    <t>3.11.2</t>
  </si>
  <si>
    <t>3.12</t>
  </si>
  <si>
    <t xml:space="preserve">Капитальный ремонт стадиона МБУК "Войсковицкий центр культуры 
и спорта" 
по адресу: Ленинградская область, Гатчинский район, 
пос. Войсковицы, ул. Молодежная, уч. 1в
</t>
  </si>
  <si>
    <t xml:space="preserve">№ 47-1-1-2-049329-2021 
от 30 августа 2021 года
</t>
  </si>
  <si>
    <t xml:space="preserve">86284,95 
(в ценах
2021 года) 
</t>
  </si>
  <si>
    <t xml:space="preserve">Муниципальное казенное учреждение "Управление строительства Гатчинского муниципального округа"</t>
  </si>
  <si>
    <t>3.12.1</t>
  </si>
  <si>
    <t>3.12.2</t>
  </si>
  <si>
    <t>3.13</t>
  </si>
  <si>
    <t xml:space="preserve">Капитальный ремонт стадиона поселка Романовка Всеволожского муниципального района Ленинградской области. Заградительная сетка</t>
  </si>
  <si>
    <t xml:space="preserve">№ 0-2-1-0165-22 
от 20 июля 
2022 года
</t>
  </si>
  <si>
    <t xml:space="preserve">1094,8824 
(в ценах
2022 года)
</t>
  </si>
  <si>
    <t xml:space="preserve">Романовское сельское поселение Всеволожского муниципального района</t>
  </si>
  <si>
    <t xml:space="preserve">Администрация Романовского сельского поселения Всеволожского муниципального района </t>
  </si>
  <si>
    <t>3.13.1</t>
  </si>
  <si>
    <t>3.13.2</t>
  </si>
  <si>
    <t>3.14</t>
  </si>
  <si>
    <t xml:space="preserve">Капитальный ремонт универсальной спортивной площадки по адресу: Ленинградская область, Волосовский муниципальный район, Рабитицкое сельское поселение, д. Рабитицы</t>
  </si>
  <si>
    <t xml:space="preserve">№ 47-1-1-2-026372-2020 
от 23 июня 
2020 года
</t>
  </si>
  <si>
    <t xml:space="preserve">3719,54 
(в ценах
2020 года)
</t>
  </si>
  <si>
    <t xml:space="preserve">Рабитицкое сельское поселение Волосовского муниципального района</t>
  </si>
  <si>
    <t xml:space="preserve">Администрация муниципального образования Рабитицкое сельское поселение Волосовского муниципального района </t>
  </si>
  <si>
    <t>3.14.1</t>
  </si>
  <si>
    <t>3.14.2</t>
  </si>
  <si>
    <t>3.15</t>
  </si>
  <si>
    <t xml:space="preserve">Капитальный ремонт объекта физической культуры и спорта: площадка для мини- футбола с искусственным покрытием, расположенного по адресу: дер. Пеники, ул. Новая, 16Б</t>
  </si>
  <si>
    <t xml:space="preserve">№ 0-2-1-0166-22 
от 20 июля 
2022 года
</t>
  </si>
  <si>
    <t xml:space="preserve">2025,0276 
(в ценах
2022 года)
</t>
  </si>
  <si>
    <t xml:space="preserve">Пениковское сельское поселение Ломоносовский муниципальный район</t>
  </si>
  <si>
    <t>3.15.1</t>
  </si>
  <si>
    <t>3.15.2</t>
  </si>
  <si>
    <t>3.16</t>
  </si>
  <si>
    <t xml:space="preserve">Капитальный ремонт объекта спорта: Муниципальное бюджетное учреждение "Водно-спортивный комплекс Бокситогорского района (МБУ "ВСКБР")
(I этап) Благоустройство территории МБУ "ВСКБР" в границах земельного участка.
Капитальный ремонт подпорной стенки 
и железобетонной лестницы. Устройство ограждения территории 
по адресу: Ленинградская область, Бокситогорский район, 
г. Пикалево, 
ул. Спортивная, 
д. 3, 187600
</t>
  </si>
  <si>
    <t xml:space="preserve">№ 47-1-1-2-008345-2022 
от 15 февраля 2022 года
</t>
  </si>
  <si>
    <t xml:space="preserve">17643,55
(в ценах
2021 года)
</t>
  </si>
  <si>
    <t xml:space="preserve">Бокситогорский муниципальный район</t>
  </si>
  <si>
    <t xml:space="preserve">Муниципальное бюджетное учреждение «Водноспортивный комплекс Бокситогорского района»</t>
  </si>
  <si>
    <t>3.16.1</t>
  </si>
  <si>
    <t>3.16.2</t>
  </si>
  <si>
    <t>3.17</t>
  </si>
  <si>
    <t xml:space="preserve">Капитальный ремонт стадиона "Сосновый", расположенного по адресу: Ленинградская область,  г. Приозерск, ул. Ленинградское шоссе, уч. 61</t>
  </si>
  <si>
    <t xml:space="preserve">№47-1-1-2-029523-2023             от 31 мая 2023 года </t>
  </si>
  <si>
    <t xml:space="preserve">52 755,24 (в ценах 2023 года, в т.ч. ПИР -657,0)</t>
  </si>
  <si>
    <t xml:space="preserve">Приозерский муниципальный район</t>
  </si>
  <si>
    <t xml:space="preserve">Администрация Приозерского муниципального района</t>
  </si>
  <si>
    <t>3.17.1</t>
  </si>
  <si>
    <t>3.17.2</t>
  </si>
  <si>
    <t>3.18</t>
  </si>
  <si>
    <t xml:space="preserve">Капитальный ремонт открытого плоскостного физкультурно-спортивного сооружения в д. Ретюнь Лужского района Ленинградской области</t>
  </si>
  <si>
    <t xml:space="preserve">№ 78-2-1-2-4541-23 от 30 мая 2023 года </t>
  </si>
  <si>
    <t xml:space="preserve">9 630, 60360 (в ценах 2023 года)</t>
  </si>
  <si>
    <t xml:space="preserve">Ретюнское сельское поселение Лужского муниципального района</t>
  </si>
  <si>
    <t xml:space="preserve">Администрация Ретюнского сельского поселения Лужского муници-пального района</t>
  </si>
  <si>
    <t>3.18.1</t>
  </si>
  <si>
    <t>3.18.2</t>
  </si>
  <si>
    <t>3.19</t>
  </si>
  <si>
    <t xml:space="preserve">Капитальный ремонт спортивной площадки по адресу: г.Коммунар, ул. Бумажников, д.2</t>
  </si>
  <si>
    <t xml:space="preserve">№ 0-2-1-0328-22 от 13 декабря 2022 года</t>
  </si>
  <si>
    <t xml:space="preserve">9 513,48878 (в ценах 2022года)</t>
  </si>
  <si>
    <t xml:space="preserve">Территориальное управление город Коммунар администрации муниципального образования Гатчинский муници-пальный округ</t>
  </si>
  <si>
    <t>3.19.1</t>
  </si>
  <si>
    <t>3.19.2</t>
  </si>
  <si>
    <t>3.20</t>
  </si>
  <si>
    <t xml:space="preserve">Капитальный ремонт спортивной площадки по адресу: г.Коммунар, ул. Садовая,8/ул. Гатчинская д.8</t>
  </si>
  <si>
    <t xml:space="preserve"> № 0-2-1-0329-23 от 13 декабря 2022 года</t>
  </si>
  <si>
    <t xml:space="preserve">9 177,4122 (в ценах 2022 года)</t>
  </si>
  <si>
    <t>3.20.1</t>
  </si>
  <si>
    <t>3.20.2</t>
  </si>
  <si>
    <t>3.21</t>
  </si>
  <si>
    <t xml:space="preserve">Капитальный ремонт здания физкультурно-оздоровительного комплекса №1 (ФОК №1), расположенного по адресу: Ленинградская область, Тосненский район, г. Никольское, ул. Дачная, д. 6 </t>
  </si>
  <si>
    <r>
      <t>№</t>
    </r>
    <r>
      <rPr>
        <sz val="12"/>
        <rFont val="Times New Roman"/>
      </rPr>
      <t xml:space="preserve"> 47-1-1-2-020162-2023                         от 19 апреля 2023 года </t>
    </r>
  </si>
  <si>
    <t xml:space="preserve">24 694,68 (в ценах  2022года) </t>
  </si>
  <si>
    <t xml:space="preserve">Никольское городское поселение Тосненского муниципального района</t>
  </si>
  <si>
    <t xml:space="preserve">Админстрация Никольского городского поселения Тосненского муниципального района</t>
  </si>
  <si>
    <t>3.21.1</t>
  </si>
  <si>
    <t>3.21.2</t>
  </si>
  <si>
    <t>3.22</t>
  </si>
  <si>
    <t xml:space="preserve">Капитальный ремонт Стадиона пос. Романовка Всеволожского муниципального района Ленинградской области. Искусственное покрытие.</t>
  </si>
  <si>
    <t xml:space="preserve">№ 0-2-1-0133-23 от 29 мая 2023 года</t>
  </si>
  <si>
    <t xml:space="preserve">9 999,76434 (в ценах 2023года)</t>
  </si>
  <si>
    <t xml:space="preserve">Администрация Романовского сельского поселения Всеволожского муниципального района</t>
  </si>
  <si>
    <t>3.22.1</t>
  </si>
  <si>
    <t>3.22.2</t>
  </si>
  <si>
    <t>3.23</t>
  </si>
  <si>
    <t xml:space="preserve">Капитальный ремонт площадки для альтернативных видов спорта (скейт парк)</t>
  </si>
  <si>
    <t xml:space="preserve">№ЭОСД- 01.023.05.29          от 29 мая 2023 года </t>
  </si>
  <si>
    <t xml:space="preserve">1095,61184 (в ценах 2023 года)</t>
  </si>
  <si>
    <t xml:space="preserve">Муниципальное казенное учреждение "Агентство по культуре и спорту Дубровского городского поселения"</t>
  </si>
  <si>
    <t>3.23.1</t>
  </si>
  <si>
    <t>3.23.2</t>
  </si>
  <si>
    <t>3.24</t>
  </si>
  <si>
    <t xml:space="preserve">Капитальный ремонт здания универсального спортивного комплекса в п. Дзержинского</t>
  </si>
  <si>
    <t xml:space="preserve">№ 25/4-05-23      от 25 мая 2023 года </t>
  </si>
  <si>
    <t xml:space="preserve">9 830,35714 (в ценах 2023года)</t>
  </si>
  <si>
    <t xml:space="preserve">Дзержинское сельское поселение Лужского муниципального района</t>
  </si>
  <si>
    <t xml:space="preserve">Администрация Дзержинского сельского поселения Лужского муници-
пального района
</t>
  </si>
  <si>
    <t>3.24.1</t>
  </si>
  <si>
    <t>3.24.2</t>
  </si>
  <si>
    <t>3.25</t>
  </si>
  <si>
    <t xml:space="preserve">Капитальный ремонт спортивной площадки (спортивное поле) – бывший «Стадион в г.Ивангороде на Кингисеппском шоссе»</t>
  </si>
  <si>
    <t xml:space="preserve">№47-1-1-2-000552-2023                                         от 11 января 2023 года </t>
  </si>
  <si>
    <t xml:space="preserve">111 213,54 (в ценах 2022 года)</t>
  </si>
  <si>
    <t xml:space="preserve">Ивангородское городское поселение Кингисеппского муниципального района </t>
  </si>
  <si>
    <t xml:space="preserve">Администрация муниципального образования «Ивангородское городское поселение»  Кингисеппского муниципального района 
</t>
  </si>
  <si>
    <t>3.25.1</t>
  </si>
  <si>
    <t>3.25.2</t>
  </si>
  <si>
    <t>3.26</t>
  </si>
  <si>
    <t xml:space="preserve">Капитальный ремонт универсальной спортивной площадки (волейбольная, баскетбольная), расположенной по адресу: Ленинградская область, Всеволожский муниципальный р-н, Заневское городское поселение, г.п. Янино-1, ул. Новая 12, кадастровый номер: 47:07:1039001:16954</t>
  </si>
  <si>
    <t xml:space="preserve">№26/6-05-23       от 26 мая 2023 года </t>
  </si>
  <si>
    <t xml:space="preserve">6648,82415 (в ценах 2023 года)</t>
  </si>
  <si>
    <t xml:space="preserve">Заневское городское поселение Всеволожского муниципального района</t>
  </si>
  <si>
    <t xml:space="preserve">Администрация Заневского городского поселения Всеволожского муниципального района
</t>
  </si>
  <si>
    <t>3.26.1</t>
  </si>
  <si>
    <t>3.26.2</t>
  </si>
  <si>
    <t>3.27</t>
  </si>
  <si>
    <t xml:space="preserve">Капитальный ремонт универсальной спортивной площадки (волейбольная), расположенной по адресу: Ленинградская область, Всеволожский муниципальный р-н, Заневское городское поселение, дер. Заневка, ул. Питерская, з/у 5а, кадастровый номер: 47:07:1001002:126</t>
  </si>
  <si>
    <t xml:space="preserve">№26/4-05-23        от 26 мая 2023 года </t>
  </si>
  <si>
    <t xml:space="preserve">3465,39061 (в ценах 2023 года)</t>
  </si>
  <si>
    <t>3.27.1</t>
  </si>
  <si>
    <t>3.27.2</t>
  </si>
  <si>
    <t>3.28</t>
  </si>
  <si>
    <t xml:space="preserve">Капитальный ремонт спортивной площадки по адресу: Ленинградская область, Выборгский район, МО «Светогорское городское поселение», д. Лосево, ул. Школьная</t>
  </si>
  <si>
    <t xml:space="preserve">№47-1-1-2-048311-2023                              от 17 августа 2023 года 
</t>
  </si>
  <si>
    <t xml:space="preserve">74818,62 (в ценах 2023 года)</t>
  </si>
  <si>
    <t xml:space="preserve">Светогорское городское поселение Выборгского района </t>
  </si>
  <si>
    <t>3.28.1</t>
  </si>
  <si>
    <t>3.28.2</t>
  </si>
  <si>
    <t>3.29</t>
  </si>
  <si>
    <t xml:space="preserve">Капитальный ремонт открытого плоскостного физкультурно-спортивного сооружения по адресу: Ленинградская область, Тосненский район, г. Любань, ул. Карла Маркса, д.3А</t>
  </si>
  <si>
    <t xml:space="preserve">№ 0-2-1-0152-24 от 21 июня 2024 года 
</t>
  </si>
  <si>
    <t xml:space="preserve">7909,67548 (в ценах 2024года)</t>
  </si>
  <si>
    <t xml:space="preserve"> Любанское городское поселение Тосненского муниципального района </t>
  </si>
  <si>
    <t>3.29.1</t>
  </si>
  <si>
    <t>3.29.2</t>
  </si>
  <si>
    <t>3.30</t>
  </si>
  <si>
    <t xml:space="preserve">Капитальный ремонт основания и покрытия СП (хоккей) юго-запад водоем д. Новое Девяткино Всеволожский район Ленинградская область</t>
  </si>
  <si>
    <t xml:space="preserve">№78-2-1-2-00462-24 от 19 июня 2024 года
</t>
  </si>
  <si>
    <t xml:space="preserve">9982,16177  (в ценах 2024 года) </t>
  </si>
  <si>
    <t xml:space="preserve">Новодевяткинское сельское поселение Всеволожского муниципального района </t>
  </si>
  <si>
    <t>3.30.1</t>
  </si>
  <si>
    <t>3.30.2</t>
  </si>
  <si>
    <t>3.31</t>
  </si>
  <si>
    <t xml:space="preserve">Капитальный ремонт лыжероллерной трассы МБУ ДО ДЮСШ «Богатырь»  по адресу: Ленинградская область, г. Тихвин, ул. Пещерка, д. 4</t>
  </si>
  <si>
    <t xml:space="preserve">№47-1-1-2-043466-2023 от 26 июля 2023 года 
</t>
  </si>
  <si>
    <t xml:space="preserve">50181,77 (в ценах 2023 года)</t>
  </si>
  <si>
    <t xml:space="preserve">Тихвинский муниципальный район</t>
  </si>
  <si>
    <t>3.31.1</t>
  </si>
  <si>
    <t>3.31.2</t>
  </si>
  <si>
    <t>3.32</t>
  </si>
  <si>
    <t xml:space="preserve">Обследование строительных конструкций, инженерных систем, обмерные работы и разработка проектно-сметной документации на капитальный ремонт объекта капитального строительства «Здание спортивного зала», расположенного по адресу: Ленинградская область, г. Гатчина, ул. Чехова д. 8А </t>
  </si>
  <si>
    <t xml:space="preserve"> №47-1-1-2-005490-2024               от 12 февраля 2024 года
</t>
  </si>
  <si>
    <t xml:space="preserve">74938,23 (в ценах 2023года, в том числе ПИР- 1980,0)</t>
  </si>
  <si>
    <t xml:space="preserve">МКУ «Управление строительства Гатчинского муниципального округа»</t>
  </si>
  <si>
    <t>3.32.1</t>
  </si>
  <si>
    <t>3.32.2</t>
  </si>
  <si>
    <t>3.33</t>
  </si>
  <si>
    <t xml:space="preserve">Капитальный ремонт здания общественно-бытового корпуса муниципального бюджетного учреждения «Спортивная школа олимпийского резерва «Фаворит» расположенного по адресу: Ленинградская область, г. Выборг, ул. Данилова, д. 1</t>
  </si>
  <si>
    <t>2028-2029</t>
  </si>
  <si>
    <t xml:space="preserve">№ 47-1-1-2-048554-2022 от 20 июля 2022 года</t>
  </si>
  <si>
    <t xml:space="preserve">143 205, 80 (в ценах 2022 года)
</t>
  </si>
  <si>
    <t xml:space="preserve">Выборгский муниципальный район</t>
  </si>
  <si>
    <t>3.33.1</t>
  </si>
  <si>
    <t>3.33.2</t>
  </si>
  <si>
    <t>3.34</t>
  </si>
  <si>
    <t xml:space="preserve">Капитальный ремонт стадиона поселка Романовка Всеволожского муниципального района Ленинградской области. Волейбольная и тренажёрная площадки</t>
  </si>
  <si>
    <t xml:space="preserve">№ 0-2-1-0145-25 от 4 июля 2025 года</t>
  </si>
  <si>
    <t xml:space="preserve">5952,20197 (в ценах 2025года)</t>
  </si>
  <si>
    <t>3.34.1</t>
  </si>
  <si>
    <t>3.34.2</t>
  </si>
  <si>
    <t>3.35</t>
  </si>
  <si>
    <t xml:space="preserve">Капитальный ремонт открытого плоскостного физкультурно-спортивного сооружения (стадиона) МБУ "Спортивный центр г. Приморск" по адресу: пос. Рябово </t>
  </si>
  <si>
    <t xml:space="preserve">№47-1-1-2-076964-2023 от 14 декабря 2023 года</t>
  </si>
  <si>
    <t xml:space="preserve">37457,86 (в ценах 2023 года)
</t>
  </si>
  <si>
    <t xml:space="preserve">Приморское городское поселение Выборгского муниципального района </t>
  </si>
  <si>
    <t>3.35.1</t>
  </si>
  <si>
    <t>3.35.2</t>
  </si>
  <si>
    <t>3.36</t>
  </si>
  <si>
    <t xml:space="preserve">Капитальный ремонт стадиона по адресу: Ленинградская область, Кировский район, г. п. Приладожский, участок 27 </t>
  </si>
  <si>
    <t xml:space="preserve"> № 47-1-1-2-079486-2022
от 14 ноября 2022 года</t>
  </si>
  <si>
    <t xml:space="preserve">203 305,17 (в ценах 2022 года)
</t>
  </si>
  <si>
    <t>3.36.1</t>
  </si>
  <si>
    <t>3.36.2</t>
  </si>
  <si>
    <t>3.37</t>
  </si>
  <si>
    <t xml:space="preserve">Капитальный ремонт городошной площадки, расположенной по адресу: Ленинградская область, г. Тихвин, ул. Пещерка, д. 1</t>
  </si>
  <si>
    <t xml:space="preserve">№78-2-1-2-5103-24 от 30 октября 2024 года</t>
  </si>
  <si>
    <t xml:space="preserve">6199,65 ( в ценах 2024года)
</t>
  </si>
  <si>
    <t xml:space="preserve">Тихвинское городское поселение Тихвинского муниципального района</t>
  </si>
  <si>
    <t>3.37.1</t>
  </si>
  <si>
    <t>3.37.2</t>
  </si>
  <si>
    <t>3.38</t>
  </si>
  <si>
    <t xml:space="preserve">Капитальный ремонт фасада, кровли и части помещений 1-го этажа здания бассейна МАУ "ФОК "СВИРЬ" по адресу: 187780, Ленинградская область, р-н Подпорожский, г. Подпорожье, пр-кт Ленина, д.32А</t>
  </si>
  <si>
    <t xml:space="preserve">№ 47-1-1-2-008685-2025 от 20 февраля 2025 года</t>
  </si>
  <si>
    <t xml:space="preserve">62 662,68 в ценах 2024 года</t>
  </si>
  <si>
    <t xml:space="preserve">Подпоржский муниципальный район </t>
  </si>
  <si>
    <t>3.38.1</t>
  </si>
  <si>
    <t>3.38.2</t>
  </si>
  <si>
    <t xml:space="preserve">Итого на капитальный ремонт объектов физической культуры и спорта</t>
  </si>
  <si>
    <t xml:space="preserve">Всего на капитальный ремонт объектов физической культуры и спорта</t>
  </si>
  <si>
    <t xml:space="preserve">2022-              2030</t>
  </si>
  <si>
    <t xml:space="preserve">Итого по государственной программе Ленинградской области "Развитие физической культуры и спорта 
в Ленинградской области"
</t>
  </si>
  <si>
    <t xml:space="preserve">Всего по государственной программе Ленинградской области "Развитие физической культуры и спорта 
в Ленинградской области"
</t>
  </si>
  <si>
    <t xml:space="preserve">2022-                      2030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</si>
</sst>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2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_р_."/>
    <numFmt numFmtId="165" formatCode="#,##0.0_р_."/>
    <numFmt numFmtId="166" formatCode="_-* #,##0.0_р_._-;\-* #,##0.0_р_._-;_-* &quot;-&quot;??_р_._-;_-@_-"/>
    <numFmt numFmtId="167" formatCode="0.0"/>
    <numFmt numFmtId="168" formatCode="#,##0.000_р_."/>
    <numFmt numFmtId="169" formatCode="#,##0.000"/>
    <numFmt numFmtId="170" formatCode="0.00000000000"/>
    <numFmt numFmtId="171" formatCode="#,##0_р_."/>
  </numFmts>
  <fonts count="36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name val="Calibri"/>
      <scheme val="minor"/>
    </font>
    <font>
      <sz val="12.000000"/>
      <name val="Calibri"/>
      <scheme val="minor"/>
    </font>
    <font>
      <sz val="14.000000"/>
      <name val="Times New Roman"/>
    </font>
    <font>
      <sz val="12.000000"/>
      <name val="Times New Roman"/>
    </font>
    <font>
      <sz val="18.000000"/>
      <name val="Calibri"/>
      <scheme val="minor"/>
    </font>
    <font>
      <sz val="13.000000"/>
      <name val="Times New Roman"/>
    </font>
    <font>
      <strike/>
      <sz val="11.000000"/>
      <name val="Calibri"/>
      <scheme val="minor"/>
    </font>
    <font>
      <strike/>
      <sz val="14.000000"/>
      <name val="Times New Roman"/>
    </font>
    <font>
      <b/>
      <sz val="11.000000"/>
      <name val="Calibri"/>
      <scheme val="minor"/>
    </font>
    <font>
      <b/>
      <sz val="14.000000"/>
      <name val="Times New Roman"/>
    </font>
    <font>
      <sz val="16.000000"/>
      <name val="Calibri"/>
      <scheme val="minor"/>
    </font>
    <font>
      <i/>
      <sz val="14.000000"/>
      <name val="Times New Roman"/>
    </font>
    <font>
      <sz val="14.000000"/>
      <color indexed="2"/>
      <name val="Times New Roman"/>
    </font>
    <font>
      <b/>
      <sz val="18.000000"/>
      <name val="Calibri"/>
      <scheme val="minor"/>
    </font>
    <font>
      <i/>
      <sz val="11.000000"/>
      <name val="Times New Roman"/>
    </font>
    <font>
      <b/>
      <i/>
      <sz val="14.000000"/>
      <color indexed="2"/>
      <name val="Times New Roman"/>
    </font>
    <font>
      <sz val="11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0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8" fillId="32" borderId="0" numFmtId="0" applyNumberFormat="1" applyFont="1" applyFill="1" applyBorder="1"/>
  </cellStyleXfs>
  <cellXfs count="242">
    <xf fontId="0" fillId="0" borderId="0" numFmtId="0" xfId="0"/>
    <xf fontId="0" fillId="33" borderId="0" numFmtId="0" xfId="0" applyFill="1"/>
    <xf fontId="19" fillId="33" borderId="0" numFmtId="0" xfId="0" applyFont="1" applyFill="1" applyAlignment="1">
      <alignment horizontal="center" vertical="center"/>
    </xf>
    <xf fontId="19" fillId="33" borderId="0" numFmtId="0" xfId="0" applyFont="1" applyFill="1"/>
    <xf fontId="19" fillId="33" borderId="0" numFmtId="0" xfId="0" applyFont="1" applyFill="1" applyAlignment="1">
      <alignment horizontal="center"/>
    </xf>
    <xf fontId="20" fillId="33" borderId="0" numFmtId="0" xfId="0" applyFont="1" applyFill="1"/>
    <xf fontId="21" fillId="33" borderId="0" numFmtId="0" xfId="0" applyFont="1" applyFill="1" applyAlignment="1">
      <alignment horizontal="right" vertical="center"/>
    </xf>
    <xf fontId="21" fillId="33" borderId="0" numFmtId="0" xfId="0" applyFont="1" applyFill="1" applyAlignment="1">
      <alignment horizontal="center" vertical="center"/>
    </xf>
    <xf fontId="21" fillId="33" borderId="0" numFmtId="0" xfId="0" applyFont="1" applyFill="1" applyAlignment="1">
      <alignment vertical="center"/>
    </xf>
    <xf fontId="22" fillId="33" borderId="0" numFmtId="0" xfId="0" applyFont="1" applyFill="1" applyAlignment="1">
      <alignment horizontal="right" vertical="center"/>
    </xf>
    <xf fontId="21" fillId="33" borderId="0" numFmtId="0" xfId="0" applyFont="1" applyFill="1" applyAlignment="1">
      <alignment horizontal="left" vertical="center"/>
    </xf>
    <xf fontId="21" fillId="33" borderId="0" numFmtId="0" xfId="0" applyFont="1" applyFill="1"/>
    <xf fontId="19" fillId="33" borderId="0" numFmtId="0" xfId="0" applyFont="1" applyFill="1" applyAlignment="1">
      <alignment horizontal="right" vertical="center"/>
    </xf>
    <xf fontId="21" fillId="33" borderId="10" numFmtId="0" xfId="0" applyFont="1" applyFill="1" applyBorder="1" applyAlignment="1">
      <alignment vertical="center" wrapText="1"/>
    </xf>
    <xf fontId="21" fillId="33" borderId="11" numFmtId="0" xfId="0" applyFont="1" applyFill="1" applyBorder="1" applyAlignment="1">
      <alignment horizontal="center" vertical="top" wrapText="1"/>
    </xf>
    <xf fontId="22" fillId="33" borderId="11" numFmtId="0" xfId="0" applyFont="1" applyFill="1" applyBorder="1" applyAlignment="1">
      <alignment horizontal="center" vertical="top" wrapText="1"/>
    </xf>
    <xf fontId="21" fillId="33" borderId="12" numFmtId="0" xfId="0" applyFont="1" applyFill="1" applyBorder="1" applyAlignment="1">
      <alignment horizontal="center" vertical="top" wrapText="1"/>
    </xf>
    <xf fontId="21" fillId="33" borderId="13" numFmtId="0" xfId="0" applyFont="1" applyFill="1" applyBorder="1" applyAlignment="1">
      <alignment horizontal="center" vertical="top" wrapText="1"/>
    </xf>
    <xf fontId="21" fillId="33" borderId="14" numFmtId="0" xfId="0" applyFont="1" applyFill="1" applyBorder="1" applyAlignment="1">
      <alignment horizontal="center" vertical="top" wrapText="1"/>
    </xf>
    <xf fontId="19" fillId="33" borderId="0" numFmtId="4" xfId="0" applyNumberFormat="1" applyFont="1" applyFill="1"/>
    <xf fontId="21" fillId="33" borderId="15" numFmtId="0" xfId="0" applyFont="1" applyFill="1" applyBorder="1" applyAlignment="1">
      <alignment horizontal="center" vertical="top" wrapText="1"/>
    </xf>
    <xf fontId="22" fillId="33" borderId="15" numFmtId="0" xfId="0" applyFont="1" applyFill="1" applyBorder="1" applyAlignment="1">
      <alignment horizontal="center" vertical="top" wrapText="1"/>
    </xf>
    <xf fontId="19" fillId="33" borderId="16" numFmtId="0" xfId="0" applyFont="1" applyFill="1" applyBorder="1"/>
    <xf fontId="21" fillId="33" borderId="16" numFmtId="0" xfId="0" applyFont="1" applyFill="1" applyBorder="1" applyAlignment="1">
      <alignment horizontal="center" vertical="top" wrapText="1"/>
    </xf>
    <xf fontId="21" fillId="33" borderId="16" numFmtId="0" xfId="0" applyFont="1" applyFill="1" applyBorder="1"/>
    <xf fontId="21" fillId="33" borderId="11" numFmtId="49" xfId="0" applyNumberFormat="1" applyFont="1" applyFill="1" applyBorder="1" applyAlignment="1">
      <alignment horizontal="center" vertical="top"/>
    </xf>
    <xf fontId="21" fillId="33" borderId="11" numFmtId="0" xfId="0" applyFont="1" applyFill="1" applyBorder="1" applyAlignment="1">
      <alignment horizontal="left" vertical="top" wrapText="1"/>
    </xf>
    <xf fontId="21" fillId="33" borderId="16" numFmtId="49" xfId="0" applyNumberFormat="1" applyFont="1" applyFill="1" applyBorder="1" applyAlignment="1">
      <alignment horizontal="center" vertical="top" wrapText="1"/>
    </xf>
    <xf fontId="21" fillId="33" borderId="16" numFmtId="164" xfId="0" applyNumberFormat="1" applyFont="1" applyFill="1" applyBorder="1" applyAlignment="1">
      <alignment horizontal="center" vertical="top" wrapText="1"/>
    </xf>
    <xf fontId="21" fillId="33" borderId="16" numFmtId="165" xfId="0" applyNumberFormat="1" applyFont="1" applyFill="1" applyBorder="1" applyAlignment="1">
      <alignment horizontal="center" vertical="top" wrapText="1"/>
    </xf>
    <xf fontId="21" fillId="34" borderId="11" numFmtId="2" xfId="0" applyNumberFormat="1" applyFont="1" applyFill="1" applyBorder="1" applyAlignment="1">
      <alignment horizontal="center" vertical="top" wrapText="1"/>
    </xf>
    <xf fontId="23" fillId="33" borderId="0" numFmtId="0" xfId="0" applyFont="1" applyFill="1"/>
    <xf fontId="21" fillId="33" borderId="17" numFmtId="49" xfId="0" applyNumberFormat="1" applyFont="1" applyFill="1" applyBorder="1" applyAlignment="1">
      <alignment horizontal="center" vertical="top"/>
    </xf>
    <xf fontId="21" fillId="33" borderId="17" numFmtId="0" xfId="0" applyFont="1" applyFill="1" applyBorder="1" applyAlignment="1">
      <alignment horizontal="left" vertical="top" wrapText="1"/>
    </xf>
    <xf fontId="21" fillId="33" borderId="17" numFmtId="0" xfId="0" applyFont="1" applyFill="1" applyBorder="1" applyAlignment="1">
      <alignment horizontal="center" vertical="top" wrapText="1"/>
    </xf>
    <xf fontId="21" fillId="33" borderId="15" numFmtId="49" xfId="0" applyNumberFormat="1" applyFont="1" applyFill="1" applyBorder="1" applyAlignment="1">
      <alignment horizontal="center" vertical="top" wrapText="1"/>
    </xf>
    <xf fontId="21" fillId="33" borderId="15" numFmtId="164" xfId="0" applyNumberFormat="1" applyFont="1" applyFill="1" applyBorder="1" applyAlignment="1">
      <alignment horizontal="center" vertical="top" wrapText="1"/>
    </xf>
    <xf fontId="21" fillId="33" borderId="15" numFmtId="165" xfId="0" applyNumberFormat="1" applyFont="1" applyFill="1" applyBorder="1" applyAlignment="1">
      <alignment horizontal="center" vertical="top" wrapText="1"/>
    </xf>
    <xf fontId="21" fillId="34" borderId="17" numFmtId="2" xfId="0" applyNumberFormat="1" applyFont="1" applyFill="1" applyBorder="1" applyAlignment="1">
      <alignment horizontal="center" vertical="top" wrapText="1"/>
    </xf>
    <xf fontId="21" fillId="33" borderId="15" numFmtId="49" xfId="0" applyNumberFormat="1" applyFont="1" applyFill="1" applyBorder="1" applyAlignment="1">
      <alignment horizontal="center" vertical="top"/>
    </xf>
    <xf fontId="21" fillId="33" borderId="15" numFmtId="0" xfId="0" applyFont="1" applyFill="1" applyBorder="1" applyAlignment="1">
      <alignment horizontal="left" vertical="top" wrapText="1"/>
    </xf>
    <xf fontId="21" fillId="33" borderId="12" numFmtId="0" xfId="0" applyFont="1" applyFill="1" applyBorder="1" applyAlignment="1">
      <alignment horizontal="left" vertical="top" wrapText="1"/>
    </xf>
    <xf fontId="21" fillId="33" borderId="13" numFmtId="0" xfId="0" applyFont="1" applyFill="1" applyBorder="1" applyAlignment="1">
      <alignment horizontal="left" vertical="top" wrapText="1"/>
    </xf>
    <xf fontId="21" fillId="33" borderId="14" numFmtId="0" xfId="0" applyFont="1" applyFill="1" applyBorder="1" applyAlignment="1">
      <alignment horizontal="left" vertical="top" wrapText="1"/>
    </xf>
    <xf fontId="21" fillId="33" borderId="18" numFmtId="0" xfId="0" applyFont="1" applyFill="1" applyBorder="1" applyAlignment="1">
      <alignment horizontal="left" vertical="top" wrapText="1"/>
    </xf>
    <xf fontId="21" fillId="33" borderId="19" numFmtId="0" xfId="0" applyFont="1" applyFill="1" applyBorder="1" applyAlignment="1">
      <alignment horizontal="left" vertical="top" wrapText="1"/>
    </xf>
    <xf fontId="21" fillId="33" borderId="20" numFmtId="0" xfId="0" applyFont="1" applyFill="1" applyBorder="1" applyAlignment="1">
      <alignment horizontal="left" vertical="top" wrapText="1"/>
    </xf>
    <xf fontId="21" fillId="33" borderId="21" numFmtId="0" xfId="0" applyFont="1" applyFill="1" applyBorder="1" applyAlignment="1">
      <alignment horizontal="left" vertical="top" wrapText="1"/>
    </xf>
    <xf fontId="21" fillId="33" borderId="0" numFmtId="0" xfId="0" applyFont="1" applyFill="1" applyAlignment="1">
      <alignment horizontal="left" vertical="top" wrapText="1"/>
    </xf>
    <xf fontId="21" fillId="33" borderId="22" numFmtId="0" xfId="0" applyFont="1" applyFill="1" applyBorder="1" applyAlignment="1">
      <alignment horizontal="left" vertical="top" wrapText="1"/>
    </xf>
    <xf fontId="21" fillId="33" borderId="11" numFmtId="49" xfId="0" applyNumberFormat="1" applyFont="1" applyFill="1" applyBorder="1" applyAlignment="1">
      <alignment horizontal="center" vertical="top" wrapText="1"/>
    </xf>
    <xf fontId="21" fillId="33" borderId="11" numFmtId="164" xfId="0" applyNumberFormat="1" applyFont="1" applyFill="1" applyBorder="1" applyAlignment="1">
      <alignment horizontal="center" vertical="top" wrapText="1"/>
    </xf>
    <xf fontId="21" fillId="33" borderId="17" numFmtId="164" xfId="0" applyNumberFormat="1" applyFont="1" applyFill="1" applyBorder="1" applyAlignment="1">
      <alignment horizontal="center" vertical="top" wrapText="1"/>
    </xf>
    <xf fontId="21" fillId="33" borderId="11" numFmtId="165" xfId="0" applyNumberFormat="1" applyFont="1" applyFill="1" applyBorder="1" applyAlignment="1">
      <alignment horizontal="center" vertical="top" wrapText="1"/>
    </xf>
    <xf fontId="21" fillId="34" borderId="15" numFmtId="2" xfId="0" applyNumberFormat="1" applyFont="1" applyFill="1" applyBorder="1" applyAlignment="1">
      <alignment horizontal="center" vertical="top" wrapText="1"/>
    </xf>
    <xf fontId="21" fillId="33" borderId="23" numFmtId="49" xfId="0" applyNumberFormat="1" applyFont="1" applyFill="1" applyBorder="1" applyAlignment="1">
      <alignment horizontal="center" vertical="top"/>
    </xf>
    <xf fontId="21" fillId="33" borderId="23" numFmtId="0" xfId="0" applyFont="1" applyFill="1" applyBorder="1" applyAlignment="1">
      <alignment horizontal="left" vertical="top" wrapText="1"/>
    </xf>
    <xf fontId="21" fillId="33" borderId="23" numFmtId="0" xfId="0" applyFont="1" applyFill="1" applyBorder="1" applyAlignment="1">
      <alignment horizontal="center" vertical="top" wrapText="1"/>
    </xf>
    <xf fontId="21" fillId="34" borderId="24" numFmtId="0" xfId="0" applyFont="1" applyFill="1" applyBorder="1" applyAlignment="1">
      <alignment horizontal="center" vertical="top" wrapText="1"/>
    </xf>
    <xf fontId="21" fillId="33" borderId="24" numFmtId="0" xfId="0" applyFont="1" applyFill="1" applyBorder="1" applyAlignment="1">
      <alignment horizontal="left" vertical="top" wrapText="1"/>
    </xf>
    <xf fontId="21" fillId="33" borderId="23" numFmtId="49" xfId="0" applyNumberFormat="1" applyFont="1" applyFill="1" applyBorder="1" applyAlignment="1">
      <alignment horizontal="center" vertical="top" wrapText="1"/>
    </xf>
    <xf fontId="21" fillId="33" borderId="23" numFmtId="164" xfId="0" applyNumberFormat="1" applyFont="1" applyFill="1" applyBorder="1" applyAlignment="1">
      <alignment horizontal="center" vertical="top" wrapText="1"/>
    </xf>
    <xf fontId="21" fillId="33" borderId="23" numFmtId="165" xfId="47" applyNumberFormat="1" applyFont="1" applyFill="1" applyBorder="1" applyAlignment="1">
      <alignment horizontal="center" shrinkToFit="1" vertical="top"/>
    </xf>
    <xf fontId="21" fillId="33" borderId="23" numFmtId="164" xfId="47" applyNumberFormat="1" applyFont="1" applyFill="1" applyBorder="1" applyAlignment="1">
      <alignment horizontal="center" shrinkToFit="1" vertical="top"/>
    </xf>
    <xf fontId="21" fillId="33" borderId="23" numFmtId="166" xfId="47" applyNumberFormat="1" applyFont="1" applyFill="1" applyBorder="1" applyAlignment="1">
      <alignment horizontal="center" vertical="top"/>
    </xf>
    <xf fontId="21" fillId="34" borderId="20" numFmtId="167" xfId="0" applyNumberFormat="1" applyFont="1" applyFill="1" applyBorder="1" applyAlignment="1">
      <alignment horizontal="center" vertical="top" wrapText="1"/>
    </xf>
    <xf fontId="21" fillId="34" borderId="25" numFmtId="0" xfId="0" applyFont="1" applyFill="1" applyBorder="1" applyAlignment="1">
      <alignment horizontal="center" vertical="top" wrapText="1"/>
    </xf>
    <xf fontId="21" fillId="33" borderId="25" numFmtId="0" xfId="0" applyFont="1" applyFill="1" applyBorder="1" applyAlignment="1">
      <alignment horizontal="left" vertical="top" wrapText="1"/>
    </xf>
    <xf fontId="21" fillId="34" borderId="22" numFmtId="167" xfId="0" applyNumberFormat="1" applyFont="1" applyFill="1" applyBorder="1" applyAlignment="1">
      <alignment horizontal="center" vertical="top" wrapText="1"/>
    </xf>
    <xf fontId="21" fillId="34" borderId="26" numFmtId="0" xfId="0" applyFont="1" applyFill="1" applyBorder="1" applyAlignment="1">
      <alignment horizontal="center" vertical="top" wrapText="1"/>
    </xf>
    <xf fontId="21" fillId="33" borderId="26" numFmtId="0" xfId="0" applyFont="1" applyFill="1" applyBorder="1" applyAlignment="1">
      <alignment horizontal="left" vertical="top" wrapText="1"/>
    </xf>
    <xf fontId="21" fillId="34" borderId="23" numFmtId="49" xfId="0" applyNumberFormat="1" applyFont="1" applyFill="1" applyBorder="1" applyAlignment="1">
      <alignment horizontal="center" vertical="top" wrapText="1"/>
    </xf>
    <xf fontId="21" fillId="34" borderId="23" numFmtId="168" xfId="0" applyNumberFormat="1" applyFont="1" applyFill="1" applyBorder="1" applyAlignment="1">
      <alignment horizontal="center" vertical="top" wrapText="1"/>
    </xf>
    <xf fontId="21" fillId="34" borderId="23" numFmtId="165" xfId="47" applyNumberFormat="1" applyFont="1" applyFill="1" applyBorder="1" applyAlignment="1">
      <alignment horizontal="center" shrinkToFit="1" vertical="top"/>
    </xf>
    <xf fontId="21" fillId="34" borderId="23" numFmtId="168" xfId="47" applyNumberFormat="1" applyFont="1" applyFill="1" applyBorder="1" applyAlignment="1">
      <alignment horizontal="center" shrinkToFit="1" vertical="top"/>
    </xf>
    <xf fontId="21" fillId="34" borderId="23" numFmtId="166" xfId="47" applyNumberFormat="1" applyFont="1" applyFill="1" applyBorder="1" applyAlignment="1">
      <alignment horizontal="center" vertical="top"/>
    </xf>
    <xf fontId="21" fillId="33" borderId="27" numFmtId="0" xfId="0" applyFont="1" applyFill="1" applyBorder="1" applyAlignment="1">
      <alignment horizontal="left" vertical="top" wrapText="1"/>
    </xf>
    <xf fontId="21" fillId="33" borderId="10" numFmtId="0" xfId="0" applyFont="1" applyFill="1" applyBorder="1" applyAlignment="1">
      <alignment horizontal="left" vertical="top" wrapText="1"/>
    </xf>
    <xf fontId="21" fillId="33" borderId="28" numFmtId="0" xfId="0" applyFont="1" applyFill="1" applyBorder="1" applyAlignment="1">
      <alignment horizontal="left" vertical="top" wrapText="1"/>
    </xf>
    <xf fontId="21" fillId="33" borderId="15" numFmtId="165" xfId="47" applyNumberFormat="1" applyFont="1" applyFill="1" applyBorder="1" applyAlignment="1">
      <alignment horizontal="center" shrinkToFit="1" vertical="top"/>
    </xf>
    <xf fontId="21" fillId="33" borderId="15" numFmtId="166" xfId="47" applyNumberFormat="1" applyFont="1" applyFill="1" applyBorder="1" applyAlignment="1">
      <alignment horizontal="center" vertical="top"/>
    </xf>
    <xf fontId="21" fillId="33" borderId="16" numFmtId="165" xfId="47" applyNumberFormat="1" applyFont="1" applyFill="1" applyBorder="1" applyAlignment="1">
      <alignment horizontal="center" shrinkToFit="1" vertical="top"/>
    </xf>
    <xf fontId="21" fillId="33" borderId="16" numFmtId="164" xfId="47" applyNumberFormat="1" applyFont="1" applyFill="1" applyBorder="1" applyAlignment="1">
      <alignment horizontal="center" shrinkToFit="1" vertical="top"/>
    </xf>
    <xf fontId="21" fillId="33" borderId="16" numFmtId="166" xfId="47" applyNumberFormat="1" applyFont="1" applyFill="1" applyBorder="1" applyAlignment="1">
      <alignment horizontal="center" vertical="top"/>
    </xf>
    <xf fontId="21" fillId="33" borderId="15" numFmtId="164" xfId="47" applyNumberFormat="1" applyFont="1" applyFill="1" applyBorder="1" applyAlignment="1">
      <alignment horizontal="center" shrinkToFit="1" vertical="top"/>
    </xf>
    <xf fontId="21" fillId="34" borderId="15" numFmtId="49" xfId="0" applyNumberFormat="1" applyFont="1" applyFill="1" applyBorder="1" applyAlignment="1">
      <alignment horizontal="center" vertical="top" wrapText="1"/>
    </xf>
    <xf fontId="21" fillId="34" borderId="16" numFmtId="168" xfId="0" applyNumberFormat="1" applyFont="1" applyFill="1" applyBorder="1" applyAlignment="1">
      <alignment horizontal="center" vertical="top" wrapText="1"/>
    </xf>
    <xf fontId="21" fillId="34" borderId="15" numFmtId="165" xfId="47" applyNumberFormat="1" applyFont="1" applyFill="1" applyBorder="1" applyAlignment="1">
      <alignment horizontal="center" shrinkToFit="1" vertical="top"/>
    </xf>
    <xf fontId="21" fillId="34" borderId="15" numFmtId="168" xfId="47" applyNumberFormat="1" applyFont="1" applyFill="1" applyBorder="1" applyAlignment="1">
      <alignment horizontal="center" shrinkToFit="1" vertical="top"/>
    </xf>
    <xf fontId="21" fillId="34" borderId="15" numFmtId="166" xfId="47" applyNumberFormat="1" applyFont="1" applyFill="1" applyBorder="1" applyAlignment="1">
      <alignment horizontal="center" vertical="top"/>
    </xf>
    <xf fontId="21" fillId="33" borderId="16" numFmtId="0" xfId="0" applyFont="1" applyFill="1" applyBorder="1" applyAlignment="1">
      <alignment horizontal="left" vertical="top" wrapText="1"/>
    </xf>
    <xf fontId="24" fillId="33" borderId="16" numFmtId="0" xfId="0" applyFont="1" applyFill="1" applyBorder="1" applyAlignment="1">
      <alignment horizontal="center" vertical="top" wrapText="1"/>
    </xf>
    <xf fontId="21" fillId="34" borderId="23" numFmtId="0" xfId="0" applyFont="1" applyFill="1" applyBorder="1" applyAlignment="1">
      <alignment horizontal="center" vertical="top" wrapText="1"/>
    </xf>
    <xf fontId="21" fillId="33" borderId="28" numFmtId="49" xfId="0" applyNumberFormat="1" applyFont="1" applyFill="1" applyBorder="1" applyAlignment="1">
      <alignment horizontal="center" vertical="top" wrapText="1"/>
    </xf>
    <xf fontId="19" fillId="33" borderId="0" numFmtId="2" xfId="0" applyNumberFormat="1" applyFont="1" applyFill="1"/>
    <xf fontId="21" fillId="34" borderId="28" numFmtId="49" xfId="0" applyNumberFormat="1" applyFont="1" applyFill="1" applyBorder="1" applyAlignment="1">
      <alignment horizontal="center" vertical="top" wrapText="1"/>
    </xf>
    <xf fontId="21" fillId="34" borderId="16" numFmtId="164" xfId="0" applyNumberFormat="1" applyFont="1" applyFill="1" applyBorder="1" applyAlignment="1">
      <alignment horizontal="center" vertical="top" wrapText="1"/>
    </xf>
    <xf fontId="21" fillId="34" borderId="15" numFmtId="164" xfId="0" applyNumberFormat="1" applyFont="1" applyFill="1" applyBorder="1" applyAlignment="1">
      <alignment horizontal="center" vertical="top" wrapText="1"/>
    </xf>
    <xf fontId="21" fillId="34" borderId="15" numFmtId="165" xfId="0" applyNumberFormat="1" applyFont="1" applyFill="1" applyBorder="1" applyAlignment="1">
      <alignment horizontal="center" vertical="top" wrapText="1"/>
    </xf>
    <xf fontId="21" fillId="33" borderId="16" numFmtId="4" xfId="0" applyNumberFormat="1" applyFont="1" applyFill="1" applyBorder="1" applyAlignment="1">
      <alignment horizontal="center" vertical="center" wrapText="1"/>
    </xf>
    <xf fontId="21" fillId="33" borderId="18" numFmtId="0" xfId="0" applyFont="1" applyFill="1" applyBorder="1" applyAlignment="1">
      <alignment vertical="top" wrapText="1"/>
    </xf>
    <xf fontId="21" fillId="33" borderId="19" numFmtId="0" xfId="0" applyFont="1" applyFill="1" applyBorder="1" applyAlignment="1">
      <alignment vertical="top" wrapText="1"/>
    </xf>
    <xf fontId="21" fillId="33" borderId="20" numFmtId="0" xfId="0" applyFont="1" applyFill="1" applyBorder="1" applyAlignment="1">
      <alignment vertical="top" wrapText="1"/>
    </xf>
    <xf fontId="21" fillId="33" borderId="11" numFmtId="4" xfId="0" applyNumberFormat="1" applyFont="1" applyFill="1" applyBorder="1" applyAlignment="1">
      <alignment horizontal="center" vertical="center" wrapText="1"/>
    </xf>
    <xf fontId="21" fillId="33" borderId="21" numFmtId="0" xfId="0" applyFont="1" applyFill="1" applyBorder="1" applyAlignment="1">
      <alignment vertical="top" wrapText="1"/>
    </xf>
    <xf fontId="21" fillId="33" borderId="0" numFmtId="0" xfId="0" applyFont="1" applyFill="1" applyAlignment="1">
      <alignment vertical="top" wrapText="1"/>
    </xf>
    <xf fontId="21" fillId="33" borderId="22" numFmtId="0" xfId="0" applyFont="1" applyFill="1" applyBorder="1" applyAlignment="1">
      <alignment vertical="top" wrapText="1"/>
    </xf>
    <xf fontId="19" fillId="33" borderId="12" numFmtId="0" xfId="0" applyFont="1" applyFill="1" applyBorder="1"/>
    <xf fontId="21" fillId="33" borderId="14" numFmtId="164" xfId="0" applyNumberFormat="1" applyFont="1" applyFill="1" applyBorder="1" applyAlignment="1">
      <alignment horizontal="center" vertical="top" wrapText="1"/>
    </xf>
    <xf fontId="21" fillId="34" borderId="11" numFmtId="0" xfId="0" applyFont="1" applyFill="1" applyBorder="1" applyAlignment="1">
      <alignment horizontal="left" vertical="top" wrapText="1"/>
    </xf>
    <xf fontId="21" fillId="33" borderId="15" numFmtId="4" xfId="0" applyNumberFormat="1" applyFont="1" applyFill="1" applyBorder="1" applyAlignment="1">
      <alignment horizontal="center" vertical="center" wrapText="1"/>
    </xf>
    <xf fontId="21" fillId="33" borderId="11" numFmtId="2" xfId="0" applyNumberFormat="1" applyFont="1" applyFill="1" applyBorder="1" applyAlignment="1">
      <alignment horizontal="center" vertical="top" wrapText="1"/>
    </xf>
    <xf fontId="21" fillId="34" borderId="15" numFmtId="0" xfId="0" applyFont="1" applyFill="1" applyBorder="1" applyAlignment="1">
      <alignment horizontal="left" vertical="top" wrapText="1"/>
    </xf>
    <xf fontId="21" fillId="33" borderId="17" numFmtId="2" xfId="0" applyNumberFormat="1" applyFont="1" applyFill="1" applyBorder="1" applyAlignment="1">
      <alignment horizontal="center" vertical="top" wrapText="1"/>
    </xf>
    <xf fontId="21" fillId="33" borderId="15" numFmtId="2" xfId="0" applyNumberFormat="1" applyFont="1" applyFill="1" applyBorder="1" applyAlignment="1">
      <alignment horizontal="center" vertical="top" wrapText="1"/>
    </xf>
    <xf fontId="21" fillId="33" borderId="17" numFmtId="49" xfId="0" applyNumberFormat="1" applyFont="1" applyFill="1" applyBorder="1" applyAlignment="1">
      <alignment horizontal="center" vertical="top" wrapText="1"/>
    </xf>
    <xf fontId="21" fillId="34" borderId="11" numFmtId="164" xfId="0" applyNumberFormat="1" applyFont="1" applyFill="1" applyBorder="1" applyAlignment="1">
      <alignment horizontal="center" vertical="top" wrapText="1"/>
    </xf>
    <xf fontId="21" fillId="34" borderId="17" numFmtId="164" xfId="0" applyNumberFormat="1" applyFont="1" applyFill="1" applyBorder="1" applyAlignment="1">
      <alignment horizontal="center" vertical="top" wrapText="1"/>
    </xf>
    <xf fontId="21" fillId="33" borderId="17" numFmtId="165" xfId="0" applyNumberFormat="1" applyFont="1" applyFill="1" applyBorder="1" applyAlignment="1">
      <alignment horizontal="center" vertical="top" wrapText="1"/>
    </xf>
    <xf fontId="25" fillId="33" borderId="0" numFmtId="0" xfId="0" applyFont="1" applyFill="1"/>
    <xf fontId="21" fillId="33" borderId="11" numFmtId="0" xfId="0" applyFont="1" applyFill="1" applyBorder="1" applyAlignment="1">
      <alignment vertical="top" wrapText="1"/>
    </xf>
    <xf fontId="21" fillId="33" borderId="11" numFmtId="1" xfId="0" applyNumberFormat="1" applyFont="1" applyFill="1" applyBorder="1" applyAlignment="1">
      <alignment horizontal="center" vertical="top" wrapText="1"/>
    </xf>
    <xf fontId="21" fillId="33" borderId="11" numFmtId="167" xfId="0" applyNumberFormat="1" applyFont="1" applyFill="1" applyBorder="1" applyAlignment="1">
      <alignment vertical="top" wrapText="1"/>
    </xf>
    <xf fontId="26" fillId="33" borderId="15" numFmtId="164" xfId="0" applyNumberFormat="1" applyFont="1" applyFill="1" applyBorder="1" applyAlignment="1">
      <alignment horizontal="center" vertical="top" wrapText="1"/>
    </xf>
    <xf fontId="26" fillId="33" borderId="16" numFmtId="0" xfId="0" applyFont="1" applyFill="1" applyBorder="1" applyAlignment="1">
      <alignment horizontal="center" vertical="center" wrapText="1"/>
    </xf>
    <xf fontId="21" fillId="33" borderId="15" numFmtId="164" xfId="0" applyNumberFormat="1" applyFont="1" applyFill="1" applyBorder="1" applyAlignment="1">
      <alignment horizontal="right" vertical="center" wrapText="1"/>
    </xf>
    <xf fontId="21" fillId="33" borderId="16" numFmtId="0" xfId="0" applyFont="1" applyFill="1" applyBorder="1" applyAlignment="1">
      <alignment horizontal="center" vertical="center" wrapText="1"/>
    </xf>
    <xf fontId="21" fillId="33" borderId="11" numFmtId="49" xfId="0" applyNumberFormat="1" applyFont="1" applyFill="1" applyBorder="1" applyAlignment="1">
      <alignment horizontal="center" vertical="center" wrapText="1"/>
    </xf>
    <xf fontId="21" fillId="34" borderId="11" numFmtId="0" xfId="0" applyFont="1" applyFill="1" applyBorder="1" applyAlignment="1">
      <alignment vertical="top" wrapText="1"/>
    </xf>
    <xf fontId="21" fillId="33" borderId="11" numFmtId="1" xfId="0" applyNumberFormat="1" applyFont="1" applyFill="1" applyBorder="1" applyAlignment="1">
      <alignment horizontal="left" vertical="top" wrapText="1"/>
    </xf>
    <xf fontId="21" fillId="33" borderId="11" numFmtId="167" xfId="0" applyNumberFormat="1" applyFont="1" applyFill="1" applyBorder="1" applyAlignment="1">
      <alignment horizontal="center" vertical="top" wrapText="1"/>
    </xf>
    <xf fontId="21" fillId="33" borderId="17" numFmtId="167" xfId="0" applyNumberFormat="1" applyFont="1" applyFill="1" applyBorder="1" applyAlignment="1">
      <alignment horizontal="center" vertical="top" wrapText="1"/>
    </xf>
    <xf fontId="21" fillId="33" borderId="15" numFmtId="167" xfId="0" applyNumberFormat="1" applyFont="1" applyFill="1" applyBorder="1" applyAlignment="1">
      <alignment horizontal="center" vertical="top" wrapText="1"/>
    </xf>
    <xf fontId="21" fillId="33" borderId="0" numFmtId="0" xfId="0" applyFont="1" applyFill="1" applyAlignment="1">
      <alignment horizontal="center" vertical="top" wrapText="1"/>
    </xf>
    <xf fontId="21" fillId="33" borderId="0" numFmtId="164" xfId="0" applyNumberFormat="1" applyFont="1" applyFill="1" applyAlignment="1">
      <alignment horizontal="center" vertical="top" wrapText="1"/>
    </xf>
    <xf fontId="21" fillId="33" borderId="0" numFmtId="168" xfId="0" applyNumberFormat="1" applyFont="1" applyFill="1" applyAlignment="1">
      <alignment horizontal="center" vertical="top" wrapText="1"/>
    </xf>
    <xf fontId="21" fillId="33" borderId="16" numFmtId="168" xfId="0" applyNumberFormat="1" applyFont="1" applyFill="1" applyBorder="1" applyAlignment="1">
      <alignment horizontal="center" vertical="top" wrapText="1"/>
    </xf>
    <xf fontId="27" fillId="33" borderId="0" numFmtId="0" xfId="0" applyFont="1" applyFill="1"/>
    <xf fontId="21" fillId="33" borderId="11" numFmtId="0" xfId="0" applyFont="1" applyFill="1" applyBorder="1" applyAlignment="1">
      <alignment horizontal="center" vertical="center"/>
    </xf>
    <xf fontId="21" fillId="33" borderId="16" numFmtId="49" xfId="0" applyNumberFormat="1" applyFont="1" applyFill="1" applyBorder="1" applyAlignment="1">
      <alignment horizontal="center" vertical="center" wrapText="1"/>
    </xf>
    <xf fontId="28" fillId="33" borderId="16" numFmtId="0" xfId="0" applyFont="1" applyFill="1" applyBorder="1" applyAlignment="1">
      <alignment horizontal="center" vertical="center" wrapText="1"/>
    </xf>
    <xf fontId="27" fillId="33" borderId="0" numFmtId="4" xfId="0" applyNumberFormat="1" applyFont="1" applyFill="1"/>
    <xf fontId="21" fillId="33" borderId="17" numFmtId="0" xfId="0" applyFont="1" applyFill="1" applyBorder="1" applyAlignment="1">
      <alignment horizontal="center" vertical="center"/>
    </xf>
    <xf fontId="29" fillId="33" borderId="0" numFmtId="4" xfId="0" applyNumberFormat="1" applyFont="1" applyFill="1"/>
    <xf fontId="21" fillId="34" borderId="16" numFmtId="164" xfId="47" applyNumberFormat="1" applyFont="1" applyFill="1" applyBorder="1" applyAlignment="1">
      <alignment horizontal="center" shrinkToFit="1" vertical="top"/>
    </xf>
    <xf fontId="21" fillId="33" borderId="15" numFmtId="0" xfId="0" applyFont="1" applyFill="1" applyBorder="1" applyAlignment="1">
      <alignment horizontal="center" vertical="center"/>
    </xf>
    <xf fontId="21" fillId="33" borderId="16" numFmtId="0" xfId="0" applyFont="1" applyFill="1" applyBorder="1" applyAlignment="1">
      <alignment horizontal="center" vertical="center"/>
    </xf>
    <xf fontId="21" fillId="34" borderId="16" numFmtId="164" xfId="47" applyNumberFormat="1" applyFont="1" applyFill="1" applyBorder="1" applyAlignment="1">
      <alignment horizontal="center" vertical="center"/>
    </xf>
    <xf fontId="21" fillId="33" borderId="16" numFmtId="165" xfId="47" applyNumberFormat="1" applyFont="1" applyFill="1" applyBorder="1" applyAlignment="1">
      <alignment horizontal="center" vertical="center"/>
    </xf>
    <xf fontId="21" fillId="33" borderId="12" numFmtId="0" xfId="0" applyFont="1" applyFill="1" applyBorder="1" applyAlignment="1">
      <alignment horizontal="center" vertical="center" wrapText="1"/>
    </xf>
    <xf fontId="21" fillId="33" borderId="13" numFmtId="0" xfId="0" applyFont="1" applyFill="1" applyBorder="1" applyAlignment="1">
      <alignment horizontal="center" vertical="center" wrapText="1"/>
    </xf>
    <xf fontId="21" fillId="33" borderId="14" numFmtId="0" xfId="0" applyFont="1" applyFill="1" applyBorder="1" applyAlignment="1">
      <alignment horizontal="center" vertical="center" wrapText="1"/>
    </xf>
    <xf fontId="21" fillId="33" borderId="11" numFmtId="167" xfId="0" applyNumberFormat="1" applyFont="1" applyFill="1" applyBorder="1" applyAlignment="1">
      <alignment horizontal="left" vertical="top" wrapText="1"/>
    </xf>
    <xf fontId="21" fillId="33" borderId="17" numFmtId="1" xfId="0" applyNumberFormat="1" applyFont="1" applyFill="1" applyBorder="1" applyAlignment="1">
      <alignment horizontal="center" vertical="top" wrapText="1"/>
    </xf>
    <xf fontId="21" fillId="33" borderId="17" numFmtId="167" xfId="0" applyNumberFormat="1" applyFont="1" applyFill="1" applyBorder="1" applyAlignment="1">
      <alignment horizontal="left" vertical="top" wrapText="1"/>
    </xf>
    <xf fontId="21" fillId="33" borderId="15" numFmtId="1" xfId="0" applyNumberFormat="1" applyFont="1" applyFill="1" applyBorder="1" applyAlignment="1">
      <alignment horizontal="center" vertical="top" wrapText="1"/>
    </xf>
    <xf fontId="21" fillId="33" borderId="15" numFmtId="167" xfId="0" applyNumberFormat="1" applyFont="1" applyFill="1" applyBorder="1" applyAlignment="1">
      <alignment horizontal="left" vertical="top" wrapText="1"/>
    </xf>
    <xf fontId="30" fillId="33" borderId="16" numFmtId="0" xfId="0" applyFont="1" applyFill="1" applyBorder="1" applyAlignment="1">
      <alignment horizontal="center" vertical="center" wrapText="1"/>
    </xf>
    <xf fontId="29" fillId="33" borderId="0" numFmtId="169" xfId="0" applyNumberFormat="1" applyFont="1" applyFill="1"/>
    <xf fontId="27" fillId="33" borderId="0" numFmtId="169" xfId="0" applyNumberFormat="1" applyFont="1" applyFill="1"/>
    <xf fontId="17" fillId="33" borderId="0" numFmtId="0" xfId="0" applyFont="1" applyFill="1"/>
    <xf fontId="31" fillId="33" borderId="16" numFmtId="0" xfId="0" applyFont="1" applyFill="1" applyBorder="1" applyAlignment="1">
      <alignment horizontal="center" vertical="center" wrapText="1"/>
    </xf>
    <xf fontId="21" fillId="33" borderId="17" numFmtId="49" xfId="0" applyNumberFormat="1" applyFont="1" applyFill="1" applyBorder="1" applyAlignment="1">
      <alignment horizontal="center" vertical="center" wrapText="1"/>
    </xf>
    <xf fontId="21" fillId="33" borderId="11" numFmtId="0" xfId="0" applyFont="1" applyFill="1" applyBorder="1" applyAlignment="1">
      <alignment horizontal="center" vertical="center" wrapText="1"/>
    </xf>
    <xf fontId="21" fillId="33" borderId="15" numFmtId="0" xfId="0" applyFont="1" applyFill="1" applyBorder="1" applyAlignment="1">
      <alignment horizontal="center" vertical="center" wrapText="1"/>
    </xf>
    <xf fontId="27" fillId="33" borderId="0" numFmtId="2" xfId="0" applyNumberFormat="1" applyFont="1" applyFill="1"/>
    <xf fontId="21" fillId="33" borderId="17" numFmtId="0" xfId="0" applyFont="1" applyFill="1" applyBorder="1" applyAlignment="1">
      <alignment horizontal="center" vertical="center" wrapText="1"/>
    </xf>
    <xf fontId="21" fillId="33" borderId="16" numFmtId="1" xfId="0" applyNumberFormat="1" applyFont="1" applyFill="1" applyBorder="1" applyAlignment="1">
      <alignment horizontal="center" vertical="top" wrapText="1"/>
    </xf>
    <xf fontId="21" fillId="33" borderId="16" numFmtId="2" xfId="0" applyNumberFormat="1" applyFont="1" applyFill="1" applyBorder="1" applyAlignment="1">
      <alignment horizontal="center" vertical="top" wrapText="1"/>
    </xf>
    <xf fontId="21" fillId="33" borderId="16" numFmtId="167" xfId="0" applyNumberFormat="1" applyFont="1" applyFill="1" applyBorder="1" applyAlignment="1">
      <alignment horizontal="center" vertical="top" wrapText="1"/>
    </xf>
    <xf fontId="21" fillId="33" borderId="16" numFmtId="49" xfId="0" applyNumberFormat="1" applyFont="1" applyFill="1" applyBorder="1" applyAlignment="1">
      <alignment horizontal="center" vertical="top"/>
    </xf>
    <xf fontId="21" fillId="33" borderId="16" numFmtId="167" xfId="0" applyNumberFormat="1" applyFont="1" applyFill="1" applyBorder="1" applyAlignment="1">
      <alignment horizontal="left" vertical="top" wrapText="1"/>
    </xf>
    <xf fontId="21" fillId="33" borderId="16" numFmtId="0" xfId="0" applyFont="1" applyFill="1" applyBorder="1" applyAlignment="1">
      <alignment horizontal="center" vertical="top"/>
    </xf>
    <xf fontId="21" fillId="33" borderId="11" numFmtId="164" xfId="0" applyNumberFormat="1" applyFont="1" applyFill="1" applyBorder="1" applyAlignment="1">
      <alignment horizontal="center" vertical="top"/>
    </xf>
    <xf fontId="21" fillId="33" borderId="11" numFmtId="165" xfId="0" applyNumberFormat="1" applyFont="1" applyFill="1" applyBorder="1" applyAlignment="1">
      <alignment horizontal="center" vertical="top"/>
    </xf>
    <xf fontId="21" fillId="33" borderId="11" numFmtId="4" xfId="0" applyNumberFormat="1" applyFont="1" applyFill="1" applyBorder="1" applyAlignment="1">
      <alignment horizontal="center" vertical="top" wrapText="1"/>
    </xf>
    <xf fontId="32" fillId="33" borderId="0" numFmtId="9" xfId="0" applyNumberFormat="1" applyFont="1" applyFill="1"/>
    <xf fontId="19" fillId="33" borderId="0" numFmtId="170" xfId="0" applyNumberFormat="1" applyFont="1" applyFill="1"/>
    <xf fontId="21" fillId="33" borderId="17" numFmtId="4" xfId="0" applyNumberFormat="1" applyFont="1" applyFill="1" applyBorder="1" applyAlignment="1">
      <alignment horizontal="center" vertical="top" wrapText="1"/>
    </xf>
    <xf fontId="21" fillId="33" borderId="15" numFmtId="4" xfId="0" applyNumberFormat="1" applyFont="1" applyFill="1" applyBorder="1" applyAlignment="1">
      <alignment horizontal="center" vertical="top" wrapText="1"/>
    </xf>
    <xf fontId="21" fillId="34" borderId="16" numFmtId="0" xfId="0" applyFont="1" applyFill="1" applyBorder="1" applyAlignment="1">
      <alignment horizontal="left" vertical="top" wrapText="1"/>
    </xf>
    <xf fontId="21" fillId="33" borderId="16" numFmtId="164" xfId="0" applyNumberFormat="1" applyFont="1" applyFill="1" applyBorder="1" applyAlignment="1">
      <alignment horizontal="center" vertical="top"/>
    </xf>
    <xf fontId="21" fillId="34" borderId="17" numFmtId="0" xfId="0" applyFont="1" applyFill="1" applyBorder="1" applyAlignment="1">
      <alignment horizontal="center" vertical="top" wrapText="1"/>
    </xf>
    <xf fontId="21" fillId="33" borderId="16" numFmtId="165" xfId="0" applyNumberFormat="1" applyFont="1" applyFill="1" applyBorder="1" applyAlignment="1">
      <alignment horizontal="center" vertical="top"/>
    </xf>
    <xf fontId="21" fillId="33" borderId="17" numFmtId="0" xfId="0" applyFont="1" applyFill="1" applyBorder="1" applyAlignment="1">
      <alignment horizontal="center" vertical="top"/>
    </xf>
    <xf fontId="21" fillId="33" borderId="17" numFmtId="164" xfId="0" applyNumberFormat="1" applyFont="1" applyFill="1" applyBorder="1" applyAlignment="1">
      <alignment horizontal="center" vertical="top"/>
    </xf>
    <xf fontId="21" fillId="33" borderId="17" numFmtId="165" xfId="0" applyNumberFormat="1" applyFont="1" applyFill="1" applyBorder="1" applyAlignment="1">
      <alignment horizontal="center" vertical="top"/>
    </xf>
    <xf fontId="21" fillId="34" borderId="15" numFmtId="0" xfId="0" applyFont="1" applyFill="1" applyBorder="1" applyAlignment="1">
      <alignment horizontal="center" vertical="top" wrapText="1"/>
    </xf>
    <xf fontId="21" fillId="33" borderId="15" numFmtId="0" xfId="0" applyFont="1" applyFill="1" applyBorder="1" applyAlignment="1">
      <alignment horizontal="center" vertical="top"/>
    </xf>
    <xf fontId="21" fillId="34" borderId="11" numFmtId="0" xfId="0" applyFont="1" applyFill="1" applyBorder="1" applyAlignment="1">
      <alignment horizontal="center" vertical="top" wrapText="1"/>
    </xf>
    <xf fontId="23" fillId="33" borderId="0" numFmtId="9" xfId="0" applyNumberFormat="1" applyFont="1" applyFill="1"/>
    <xf fontId="21" fillId="34" borderId="17" numFmtId="0" xfId="0" applyFont="1" applyFill="1" applyBorder="1" applyAlignment="1">
      <alignment horizontal="left" vertical="top" wrapText="1"/>
    </xf>
    <xf fontId="21" fillId="33" borderId="18" numFmtId="49" xfId="0" applyNumberFormat="1" applyFont="1" applyFill="1" applyBorder="1" applyAlignment="1">
      <alignment horizontal="center" vertical="top"/>
    </xf>
    <xf fontId="21" fillId="34" borderId="23" numFmtId="0" xfId="0" applyFont="1" applyFill="1" applyBorder="1" applyAlignment="1">
      <alignment horizontal="left" vertical="top" wrapText="1"/>
    </xf>
    <xf fontId="21" fillId="33" borderId="23" numFmtId="167" xfId="0" applyNumberFormat="1" applyFont="1" applyFill="1" applyBorder="1" applyAlignment="1">
      <alignment horizontal="left" vertical="top" wrapText="1"/>
    </xf>
    <xf fontId="21" fillId="33" borderId="28" numFmtId="0" xfId="0" applyFont="1" applyFill="1" applyBorder="1" applyAlignment="1">
      <alignment horizontal="center" vertical="top"/>
    </xf>
    <xf fontId="21" fillId="33" borderId="21" numFmtId="49" xfId="0" applyNumberFormat="1" applyFont="1" applyFill="1" applyBorder="1" applyAlignment="1">
      <alignment horizontal="center" vertical="top"/>
    </xf>
    <xf fontId="21" fillId="33" borderId="27" numFmtId="49" xfId="0" applyNumberFormat="1" applyFont="1" applyFill="1" applyBorder="1" applyAlignment="1">
      <alignment horizontal="center" vertical="top"/>
    </xf>
    <xf fontId="21" fillId="34" borderId="28" numFmtId="0" xfId="0" applyFont="1" applyFill="1" applyBorder="1" applyAlignment="1">
      <alignment horizontal="center" vertical="top"/>
    </xf>
    <xf fontId="21" fillId="34" borderId="11" numFmtId="164" xfId="0" applyNumberFormat="1" applyFont="1" applyFill="1" applyBorder="1" applyAlignment="1">
      <alignment horizontal="center" vertical="top"/>
    </xf>
    <xf fontId="33" fillId="34" borderId="16" numFmtId="4" xfId="0" applyNumberFormat="1" applyFont="1" applyFill="1" applyBorder="1" applyAlignment="1">
      <alignment horizontal="center" vertical="center" wrapText="1"/>
    </xf>
    <xf fontId="21" fillId="34" borderId="15" numFmtId="0" xfId="0" applyFont="1" applyFill="1" applyBorder="1" applyAlignment="1">
      <alignment horizontal="center" vertical="top"/>
    </xf>
    <xf fontId="21" fillId="34" borderId="11" numFmtId="165" xfId="0" applyNumberFormat="1" applyFont="1" applyFill="1" applyBorder="1" applyAlignment="1">
      <alignment horizontal="center" vertical="top"/>
    </xf>
    <xf fontId="21" fillId="33" borderId="11" numFmtId="171" xfId="0" applyNumberFormat="1" applyFont="1" applyFill="1" applyBorder="1" applyAlignment="1">
      <alignment horizontal="center" vertical="top"/>
    </xf>
    <xf fontId="31" fillId="33" borderId="11" numFmtId="165" xfId="0" applyNumberFormat="1" applyFont="1" applyFill="1" applyBorder="1" applyAlignment="1">
      <alignment horizontal="center" vertical="top"/>
    </xf>
    <xf fontId="21" fillId="33" borderId="0" numFmtId="167" xfId="0" applyNumberFormat="1" applyFont="1" applyFill="1" applyAlignment="1">
      <alignment horizontal="left" vertical="top" wrapText="1"/>
    </xf>
    <xf fontId="31" fillId="33" borderId="15" numFmtId="0" xfId="0" applyFont="1" applyFill="1" applyBorder="1" applyAlignment="1">
      <alignment horizontal="center" vertical="top"/>
    </xf>
    <xf fontId="21" fillId="33" borderId="24" numFmtId="167" xfId="0" applyNumberFormat="1" applyFont="1" applyFill="1" applyBorder="1" applyAlignment="1">
      <alignment horizontal="left" vertical="top" wrapText="1"/>
    </xf>
    <xf fontId="21" fillId="33" borderId="26" numFmtId="167" xfId="0" applyNumberFormat="1" applyFont="1" applyFill="1" applyBorder="1" applyAlignment="1">
      <alignment horizontal="left" vertical="top" wrapText="1"/>
    </xf>
    <xf fontId="31" fillId="33" borderId="16" numFmtId="165" xfId="0" applyNumberFormat="1" applyFont="1" applyFill="1" applyBorder="1" applyAlignment="1">
      <alignment horizontal="center" vertical="top"/>
    </xf>
    <xf fontId="31" fillId="33" borderId="23" numFmtId="0" xfId="0" applyFont="1" applyFill="1" applyBorder="1" applyAlignment="1">
      <alignment horizontal="center" vertical="top"/>
    </xf>
    <xf fontId="31" fillId="33" borderId="0" numFmtId="165" xfId="0" applyNumberFormat="1" applyFont="1" applyFill="1" applyAlignment="1">
      <alignment horizontal="center" vertical="top"/>
    </xf>
    <xf fontId="21" fillId="33" borderId="23" numFmtId="0" xfId="0" applyFont="1" applyFill="1" applyBorder="1" applyAlignment="1">
      <alignment horizontal="center" vertical="top"/>
    </xf>
    <xf fontId="21" fillId="33" borderId="20" numFmtId="164" xfId="0" applyNumberFormat="1" applyFont="1" applyFill="1" applyBorder="1" applyAlignment="1">
      <alignment horizontal="center" vertical="top"/>
    </xf>
    <xf fontId="31" fillId="33" borderId="11" numFmtId="0" xfId="0" applyFont="1" applyFill="1" applyBorder="1" applyAlignment="1">
      <alignment horizontal="center" vertical="top"/>
    </xf>
    <xf fontId="31" fillId="33" borderId="12" numFmtId="165" xfId="0" applyNumberFormat="1" applyFont="1" applyFill="1" applyBorder="1" applyAlignment="1">
      <alignment horizontal="center" vertical="top"/>
    </xf>
    <xf fontId="0" fillId="33" borderId="23" numFmtId="0" xfId="0" applyFill="1" applyBorder="1"/>
    <xf fontId="31" fillId="33" borderId="23" numFmtId="165" xfId="0" applyNumberFormat="1" applyFont="1" applyFill="1" applyBorder="1" applyAlignment="1">
      <alignment horizontal="center" vertical="top"/>
    </xf>
    <xf fontId="21" fillId="33" borderId="22" numFmtId="0" xfId="0" applyFont="1" applyFill="1" applyBorder="1" applyAlignment="1">
      <alignment horizontal="center" vertical="top" wrapText="1"/>
    </xf>
    <xf fontId="21" fillId="33" borderId="0" numFmtId="164" xfId="0" applyNumberFormat="1" applyFont="1" applyFill="1" applyAlignment="1">
      <alignment horizontal="center" vertical="top"/>
    </xf>
    <xf fontId="21" fillId="33" borderId="15" numFmtId="164" xfId="0" applyNumberFormat="1" applyFont="1" applyFill="1" applyBorder="1" applyAlignment="1">
      <alignment horizontal="center" vertical="top"/>
    </xf>
    <xf fontId="31" fillId="33" borderId="17" numFmtId="165" xfId="0" applyNumberFormat="1" applyFont="1" applyFill="1" applyBorder="1" applyAlignment="1">
      <alignment horizontal="center" vertical="top"/>
    </xf>
    <xf fontId="31" fillId="33" borderId="16" numFmtId="0" xfId="0" applyFont="1" applyFill="1" applyBorder="1" applyAlignment="1">
      <alignment horizontal="center" vertical="top"/>
    </xf>
    <xf fontId="21" fillId="33" borderId="0" numFmtId="0" xfId="0" applyFont="1" applyFill="1" applyAlignment="1">
      <alignment horizontal="center" vertical="top"/>
    </xf>
    <xf fontId="28" fillId="33" borderId="11" numFmtId="0" xfId="0" applyFont="1" applyFill="1" applyBorder="1" applyAlignment="1">
      <alignment horizontal="center" vertical="center"/>
    </xf>
    <xf fontId="28" fillId="33" borderId="17" numFmtId="0" xfId="0" applyFont="1" applyFill="1" applyBorder="1" applyAlignment="1">
      <alignment horizontal="center" vertical="center"/>
    </xf>
    <xf fontId="21" fillId="33" borderId="16" numFmtId="164" xfId="0" applyNumberFormat="1" applyFont="1" applyFill="1" applyBorder="1" applyAlignment="1">
      <alignment horizontal="center" vertical="center" wrapText="1"/>
    </xf>
    <xf fontId="21" fillId="34" borderId="16" numFmtId="164" xfId="0" applyNumberFormat="1" applyFont="1" applyFill="1" applyBorder="1" applyAlignment="1">
      <alignment horizontal="center" vertical="top"/>
    </xf>
    <xf fontId="28" fillId="33" borderId="15" numFmtId="0" xfId="0" applyFont="1" applyFill="1" applyBorder="1" applyAlignment="1">
      <alignment horizontal="center" vertical="center"/>
    </xf>
    <xf fontId="21" fillId="33" borderId="18" numFmtId="0" xfId="0" applyFont="1" applyFill="1" applyBorder="1" applyAlignment="1">
      <alignment horizontal="center" vertical="center"/>
    </xf>
    <xf fontId="21" fillId="33" borderId="14" numFmtId="1" xfId="0" applyNumberFormat="1" applyFont="1" applyFill="1" applyBorder="1" applyAlignment="1">
      <alignment horizontal="center" vertical="top" wrapText="1"/>
    </xf>
    <xf fontId="21" fillId="33" borderId="16" numFmtId="165" xfId="0" applyNumberFormat="1" applyFont="1" applyFill="1" applyBorder="1" applyAlignment="1">
      <alignment horizontal="center" vertical="center" wrapText="1"/>
    </xf>
    <xf fontId="21" fillId="33" borderId="16" numFmtId="0" xfId="0" applyFont="1" applyFill="1" applyBorder="1" applyAlignment="1">
      <alignment horizontal="justify" vertical="top" wrapText="1"/>
    </xf>
    <xf fontId="21" fillId="34" borderId="16" numFmtId="165" xfId="0" applyNumberFormat="1" applyFont="1" applyFill="1" applyBorder="1" applyAlignment="1">
      <alignment horizontal="center" vertical="center" wrapText="1"/>
    </xf>
    <xf fontId="21" fillId="33" borderId="16" numFmtId="167" xfId="0" applyNumberFormat="1" applyFont="1" applyFill="1" applyBorder="1" applyAlignment="1">
      <alignment horizontal="center" vertical="center" wrapText="1"/>
    </xf>
    <xf fontId="21" fillId="33" borderId="0" numFmtId="0" xfId="0" applyFont="1" applyFill="1" applyAlignment="1">
      <alignment horizontal="justify" vertical="top" wrapText="1"/>
    </xf>
    <xf fontId="21" fillId="33" borderId="0" numFmtId="0" xfId="0" applyFont="1" applyFill="1" applyAlignment="1">
      <alignment horizontal="center" vertical="center" wrapText="1"/>
    </xf>
    <xf fontId="34" fillId="33" borderId="0" numFmtId="164" xfId="0" applyNumberFormat="1" applyFont="1" applyFill="1" applyAlignment="1">
      <alignment horizontal="center" vertical="center" wrapText="1"/>
    </xf>
    <xf fontId="21" fillId="33" borderId="0" numFmtId="165" xfId="0" applyNumberFormat="1" applyFont="1" applyFill="1" applyAlignment="1">
      <alignment horizontal="center" vertical="center" wrapText="1"/>
    </xf>
    <xf fontId="35" fillId="33" borderId="0" numFmtId="0" xfId="0" applyFont="1" applyFill="1"/>
    <xf fontId="31" fillId="33" borderId="0" numFmtId="164" xfId="0" applyNumberFormat="1" applyFont="1" applyFill="1" applyAlignment="1">
      <alignment horizontal="center" vertical="center" wrapText="1"/>
    </xf>
    <xf fontId="21" fillId="33" borderId="0" numFmtId="164" xfId="0" applyNumberFormat="1" applyFont="1" applyFill="1" applyAlignment="1">
      <alignment horizontal="center" vertical="center" wrapText="1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egrp365.org/reestr?egrp=47:07:1039001:1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G149" zoomScale="80" workbookViewId="0">
      <selection activeCell="L245" activeCellId="0" sqref="L245"/>
    </sheetView>
  </sheetViews>
  <sheetFormatPr baseColWidth="8" defaultColWidth="8.8554700000000004" defaultRowHeight="15.75" customHeight="1"/>
  <cols>
    <col customWidth="1" min="1" max="1" style="2" width="8.7109400000000008"/>
    <col customWidth="1" min="2" max="2" style="3" width="44.285200000000003"/>
    <col customWidth="1" min="3" max="3" style="4" width="14.425800000000001"/>
    <col customWidth="1" min="4" max="4" style="5" width="12.2852"/>
    <col customWidth="1" min="5" max="5" style="5" width="21.2852"/>
    <col customWidth="1" min="6" max="6" style="3" width="17.855499999999999"/>
    <col customWidth="1" min="7" max="8" style="3" width="24.855499999999999"/>
    <col customWidth="1" min="9" max="9" style="3" width="16.855499999999999"/>
    <col customWidth="1" min="10" max="10" style="3" width="26.140599999999999"/>
    <col customWidth="1" min="11" max="11" style="3" width="18.425799999999999"/>
    <col customWidth="1" min="12" max="12" style="3" width="20.710899999999999"/>
    <col customWidth="1" min="13" max="13" style="3" width="19.710899999999999"/>
    <col customWidth="1" min="14" max="14" style="3" width="16.2852"/>
    <col customWidth="1" min="15" max="15" style="3" width="29.855499999999999"/>
    <col customWidth="1" hidden="1" min="16" max="16" style="3" width="1.85547"/>
    <col customWidth="1" hidden="1" min="17" max="18" style="3" width="9.1406200000000002"/>
    <col customWidth="1" hidden="1" min="19" max="19" style="3" width="0.140625"/>
    <col customWidth="1" hidden="1" min="20" max="20" style="3" width="9.1406200000000002"/>
    <col customWidth="1" min="21" max="21" style="3" width="19.2852"/>
    <col customWidth="1" min="22" max="22" style="3" width="20.710899999999999"/>
    <col bestFit="1" customWidth="1" min="23" max="23" style="3" width="14.2852"/>
    <col customWidth="1" min="24" max="257" style="3" width="8.8554700000000004"/>
    <col min="258" max="16384" style="1" width="8.8554700000000004"/>
  </cols>
  <sheetData>
    <row r="1" ht="17.25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8" t="s">
        <v>0</v>
      </c>
      <c r="N1" s="6"/>
      <c r="O1" s="8"/>
      <c r="P1" s="8"/>
    </row>
    <row r="2" ht="17.25">
      <c r="A2" s="6"/>
      <c r="B2" s="6"/>
      <c r="C2" s="7"/>
      <c r="D2" s="9"/>
      <c r="E2" s="9"/>
      <c r="F2" s="6"/>
      <c r="G2" s="6"/>
      <c r="H2" s="6"/>
      <c r="I2" s="6"/>
      <c r="J2" s="6"/>
      <c r="K2" s="6"/>
      <c r="L2" s="6"/>
      <c r="M2" s="10" t="s">
        <v>1</v>
      </c>
      <c r="N2" s="10"/>
      <c r="O2" s="10"/>
      <c r="P2" s="8"/>
    </row>
    <row r="3" ht="24" customHeight="1">
      <c r="A3" s="6"/>
      <c r="B3" s="6"/>
      <c r="C3" s="7"/>
      <c r="D3" s="9"/>
      <c r="E3" s="9"/>
      <c r="F3" s="6"/>
      <c r="G3" s="6"/>
      <c r="H3" s="6"/>
      <c r="I3" s="6"/>
      <c r="J3" s="6"/>
      <c r="K3" s="6"/>
      <c r="L3" s="6"/>
      <c r="M3" s="10" t="s">
        <v>2</v>
      </c>
      <c r="N3" s="10"/>
      <c r="O3" s="10"/>
      <c r="P3" s="8"/>
      <c r="Q3" s="11"/>
      <c r="R3" s="11"/>
      <c r="S3" s="11"/>
    </row>
    <row r="4" ht="19.899999999999999" customHeight="1">
      <c r="A4" s="6"/>
      <c r="B4" s="6"/>
      <c r="C4" s="7"/>
      <c r="D4" s="9"/>
      <c r="E4" s="9"/>
      <c r="F4" s="6"/>
      <c r="G4" s="6"/>
      <c r="H4" s="6"/>
      <c r="I4" s="6"/>
      <c r="J4" s="6"/>
      <c r="K4" s="6"/>
      <c r="L4" s="6"/>
      <c r="M4" s="10" t="s">
        <v>3</v>
      </c>
      <c r="N4" s="10"/>
      <c r="O4" s="10"/>
      <c r="P4" s="8"/>
      <c r="Q4" s="11"/>
      <c r="R4" s="11"/>
      <c r="S4" s="11"/>
    </row>
    <row r="5" ht="19.899999999999999" customHeight="1">
      <c r="A5" s="6"/>
      <c r="B5" s="6"/>
      <c r="C5" s="7"/>
      <c r="D5" s="9"/>
      <c r="E5" s="9"/>
      <c r="F5" s="6"/>
      <c r="G5" s="6"/>
      <c r="H5" s="6"/>
      <c r="I5" s="6"/>
      <c r="J5" s="6"/>
      <c r="K5" s="6"/>
      <c r="L5" s="6"/>
      <c r="M5" s="10" t="s">
        <v>4</v>
      </c>
      <c r="N5" s="10"/>
      <c r="O5" s="10"/>
      <c r="P5" s="8"/>
      <c r="Q5" s="11"/>
      <c r="R5" s="11"/>
      <c r="S5" s="11"/>
    </row>
    <row r="6" ht="19.899999999999999" customHeight="1">
      <c r="A6" s="6"/>
      <c r="B6" s="6"/>
      <c r="C6" s="7"/>
      <c r="D6" s="9"/>
      <c r="E6" s="9"/>
      <c r="F6" s="6"/>
      <c r="G6" s="6"/>
      <c r="H6" s="6"/>
      <c r="I6" s="6"/>
      <c r="J6" s="6"/>
      <c r="K6" s="6"/>
      <c r="L6" s="6"/>
      <c r="M6" s="10" t="s">
        <v>5</v>
      </c>
      <c r="N6" s="10"/>
      <c r="O6" s="10"/>
      <c r="P6" s="8"/>
      <c r="Q6" s="11"/>
      <c r="R6" s="11"/>
      <c r="S6" s="11"/>
    </row>
    <row r="7" ht="19.899999999999999" customHeight="1">
      <c r="A7" s="6"/>
      <c r="B7" s="6"/>
      <c r="C7" s="7"/>
      <c r="D7" s="9"/>
      <c r="E7" s="9"/>
      <c r="F7" s="6"/>
      <c r="G7" s="6"/>
      <c r="H7" s="6"/>
      <c r="I7" s="6"/>
      <c r="J7" s="6"/>
      <c r="K7" s="6"/>
      <c r="L7" s="6"/>
      <c r="M7" s="10" t="s">
        <v>6</v>
      </c>
      <c r="N7" s="10"/>
      <c r="O7" s="10"/>
      <c r="P7" s="12"/>
      <c r="Q7" s="11"/>
      <c r="R7" s="11"/>
      <c r="S7" s="11"/>
    </row>
    <row r="8" ht="19.899999999999999" customHeight="1">
      <c r="A8" s="7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11"/>
      <c r="R8" s="11"/>
      <c r="S8" s="11"/>
    </row>
    <row r="9" ht="19.899999999999999" customHeight="1">
      <c r="A9" s="7" t="s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1"/>
      <c r="Q9" s="11"/>
      <c r="R9" s="11"/>
      <c r="S9" s="11"/>
    </row>
    <row r="10" ht="19.899999999999999" customHeight="1">
      <c r="A10" s="7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1"/>
      <c r="Q10" s="11"/>
      <c r="R10" s="11"/>
      <c r="S10" s="11"/>
    </row>
    <row r="11" ht="21" customHeight="1">
      <c r="A11" s="13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1"/>
      <c r="Q11" s="11"/>
      <c r="R11" s="11"/>
      <c r="S11" s="11"/>
    </row>
    <row r="12" ht="90" customHeight="1">
      <c r="A12" s="14" t="s">
        <v>11</v>
      </c>
      <c r="B12" s="14" t="s">
        <v>12</v>
      </c>
      <c r="C12" s="15" t="s">
        <v>13</v>
      </c>
      <c r="D12" s="14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6" t="s">
        <v>20</v>
      </c>
      <c r="K12" s="17"/>
      <c r="L12" s="17"/>
      <c r="M12" s="17"/>
      <c r="N12" s="18"/>
      <c r="O12" s="14" t="s">
        <v>21</v>
      </c>
      <c r="P12" s="11"/>
      <c r="Q12" s="11"/>
      <c r="R12" s="11"/>
      <c r="S12" s="11"/>
      <c r="V12" s="19"/>
    </row>
    <row r="13" ht="91.5" customHeight="1">
      <c r="A13" s="20"/>
      <c r="B13" s="20"/>
      <c r="C13" s="21"/>
      <c r="D13" s="20"/>
      <c r="E13" s="20"/>
      <c r="F13" s="20"/>
      <c r="G13" s="20"/>
      <c r="H13" s="20"/>
      <c r="I13" s="20"/>
      <c r="J13" s="14" t="s">
        <v>22</v>
      </c>
      <c r="K13" s="14" t="s">
        <v>23</v>
      </c>
      <c r="L13" s="14" t="s">
        <v>24</v>
      </c>
      <c r="M13" s="14" t="s">
        <v>25</v>
      </c>
      <c r="N13" s="14" t="s">
        <v>26</v>
      </c>
      <c r="O13" s="20"/>
      <c r="P13" s="11"/>
      <c r="Q13" s="11"/>
      <c r="R13" s="11"/>
      <c r="S13" s="11"/>
    </row>
    <row r="14" s="22" customFormat="1" ht="21" customHeight="1">
      <c r="A14" s="23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3">
        <v>11</v>
      </c>
      <c r="L14" s="23">
        <v>12</v>
      </c>
      <c r="M14" s="23">
        <v>13</v>
      </c>
      <c r="N14" s="23">
        <v>14</v>
      </c>
      <c r="O14" s="23">
        <v>15</v>
      </c>
      <c r="P14" s="24"/>
      <c r="Q14" s="24"/>
      <c r="R14" s="24"/>
      <c r="S14" s="24"/>
    </row>
    <row r="15" s="3" customFormat="1" ht="21" customHeight="1">
      <c r="A15" s="16" t="s">
        <v>27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  <c r="P15" s="11"/>
      <c r="Q15" s="11"/>
      <c r="R15" s="11"/>
      <c r="S15" s="11"/>
    </row>
    <row r="16" ht="28.5" customHeight="1">
      <c r="A16" s="25" t="s">
        <v>28</v>
      </c>
      <c r="B16" s="26" t="s">
        <v>29</v>
      </c>
      <c r="C16" s="14">
        <v>48</v>
      </c>
      <c r="D16" s="14" t="s">
        <v>30</v>
      </c>
      <c r="E16" s="26" t="s">
        <v>31</v>
      </c>
      <c r="F16" s="14" t="s">
        <v>32</v>
      </c>
      <c r="G16" s="26" t="s">
        <v>33</v>
      </c>
      <c r="H16" s="26" t="s">
        <v>34</v>
      </c>
      <c r="I16" s="27" t="s">
        <v>35</v>
      </c>
      <c r="J16" s="28">
        <f t="shared" ref="J16:J17" si="0">SUM(K16:N16)</f>
        <v>111139.8</v>
      </c>
      <c r="K16" s="28"/>
      <c r="L16" s="28">
        <v>103360</v>
      </c>
      <c r="M16" s="28">
        <v>7779.8000000000002</v>
      </c>
      <c r="N16" s="29"/>
      <c r="O16" s="30">
        <f>12407.49509+35100.56+7953.35+6179.57</f>
        <v>61640.975089999993</v>
      </c>
      <c r="U16" s="31"/>
    </row>
    <row r="17" ht="19.5" customHeight="1">
      <c r="A17" s="32"/>
      <c r="B17" s="33"/>
      <c r="C17" s="34"/>
      <c r="D17" s="34"/>
      <c r="E17" s="33"/>
      <c r="F17" s="34"/>
      <c r="G17" s="33"/>
      <c r="H17" s="33"/>
      <c r="I17" s="35" t="s">
        <v>36</v>
      </c>
      <c r="J17" s="28">
        <f t="shared" si="0"/>
        <v>45344.299999999996</v>
      </c>
      <c r="K17" s="36"/>
      <c r="L17" s="36">
        <f>11491.6+(29212.599999999999+1466)</f>
        <v>42170.199999999997</v>
      </c>
      <c r="M17" s="36">
        <v>3174.0999999999999</v>
      </c>
      <c r="N17" s="37"/>
      <c r="O17" s="38"/>
      <c r="U17" s="31"/>
    </row>
    <row r="18" ht="122.25" customHeight="1">
      <c r="A18" s="32"/>
      <c r="B18" s="33"/>
      <c r="C18" s="34"/>
      <c r="D18" s="34"/>
      <c r="E18" s="33"/>
      <c r="F18" s="34"/>
      <c r="G18" s="33"/>
      <c r="H18" s="33"/>
      <c r="I18" s="35" t="s">
        <v>37</v>
      </c>
      <c r="J18" s="28">
        <f>L18*100/92</f>
        <v>70953.141304347824</v>
      </c>
      <c r="K18" s="36"/>
      <c r="L18" s="36">
        <f>23106.689999999999+42170.199999999997</f>
        <v>65276.889999999999</v>
      </c>
      <c r="M18" s="36">
        <f>J18-L18</f>
        <v>5676.2513043478248</v>
      </c>
      <c r="N18" s="37"/>
      <c r="O18" s="38"/>
      <c r="U18" s="31"/>
    </row>
    <row r="19" ht="150" customHeight="1">
      <c r="A19" s="39"/>
      <c r="B19" s="40"/>
      <c r="C19" s="20"/>
      <c r="D19" s="20"/>
      <c r="E19" s="40"/>
      <c r="F19" s="20"/>
      <c r="G19" s="40"/>
      <c r="H19" s="40"/>
      <c r="I19" s="35" t="s">
        <v>38</v>
      </c>
      <c r="J19" s="28">
        <f>SUM(L19:M19)</f>
        <v>142070.19</v>
      </c>
      <c r="K19" s="36"/>
      <c r="L19" s="36">
        <v>132125.26999999999</v>
      </c>
      <c r="M19" s="36">
        <v>9944.9200000000001</v>
      </c>
      <c r="N19" s="37"/>
      <c r="O19" s="38"/>
      <c r="U19" s="31" t="s">
        <v>39</v>
      </c>
    </row>
    <row r="20" ht="24" customHeight="1">
      <c r="A20" s="25" t="s">
        <v>40</v>
      </c>
      <c r="B20" s="41" t="s">
        <v>41</v>
      </c>
      <c r="C20" s="42"/>
      <c r="D20" s="42"/>
      <c r="E20" s="42"/>
      <c r="F20" s="42"/>
      <c r="G20" s="42"/>
      <c r="H20" s="43"/>
      <c r="I20" s="35"/>
      <c r="J20" s="29"/>
      <c r="K20" s="37"/>
      <c r="L20" s="37"/>
      <c r="M20" s="37"/>
      <c r="N20" s="37"/>
      <c r="O20" s="38"/>
    </row>
    <row r="21" ht="30.75" customHeight="1">
      <c r="A21" s="25" t="s">
        <v>42</v>
      </c>
      <c r="B21" s="44" t="s">
        <v>43</v>
      </c>
      <c r="C21" s="45"/>
      <c r="D21" s="45"/>
      <c r="E21" s="45"/>
      <c r="F21" s="45"/>
      <c r="G21" s="45"/>
      <c r="H21" s="46"/>
      <c r="I21" s="27" t="s">
        <v>35</v>
      </c>
      <c r="J21" s="28">
        <f t="shared" ref="J21:J25" si="1">SUM(K21:N21)</f>
        <v>111139.8</v>
      </c>
      <c r="K21" s="28"/>
      <c r="L21" s="28">
        <v>103360</v>
      </c>
      <c r="M21" s="28">
        <v>7779.8000000000002</v>
      </c>
      <c r="N21" s="29"/>
      <c r="O21" s="38"/>
    </row>
    <row r="22" ht="25.5" customHeight="1">
      <c r="A22" s="32"/>
      <c r="B22" s="47"/>
      <c r="C22" s="48"/>
      <c r="D22" s="48"/>
      <c r="E22" s="48"/>
      <c r="F22" s="48"/>
      <c r="G22" s="48"/>
      <c r="H22" s="49"/>
      <c r="I22" s="27" t="s">
        <v>36</v>
      </c>
      <c r="J22" s="28">
        <f t="shared" si="1"/>
        <v>45344.299999999996</v>
      </c>
      <c r="K22" s="28"/>
      <c r="L22" s="36">
        <v>42170.199999999997</v>
      </c>
      <c r="M22" s="36">
        <v>3174.0999999999999</v>
      </c>
      <c r="N22" s="29"/>
      <c r="O22" s="38"/>
    </row>
    <row r="23" ht="25.5" customHeight="1">
      <c r="A23" s="32"/>
      <c r="B23" s="47"/>
      <c r="C23" s="48"/>
      <c r="D23" s="48"/>
      <c r="E23" s="48"/>
      <c r="F23" s="48"/>
      <c r="G23" s="48"/>
      <c r="H23" s="49"/>
      <c r="I23" s="27" t="s">
        <v>37</v>
      </c>
      <c r="J23" s="28">
        <f t="shared" si="1"/>
        <v>70953.141304347824</v>
      </c>
      <c r="K23" s="28"/>
      <c r="L23" s="36">
        <f>23106.689999999999+42170.199999999997</f>
        <v>65276.889999999999</v>
      </c>
      <c r="M23" s="36">
        <f>M18</f>
        <v>5676.2513043478248</v>
      </c>
      <c r="N23" s="29"/>
      <c r="O23" s="38"/>
    </row>
    <row r="24" ht="25.5" customHeight="1">
      <c r="A24" s="32"/>
      <c r="B24" s="47"/>
      <c r="C24" s="48"/>
      <c r="D24" s="48"/>
      <c r="E24" s="48"/>
      <c r="F24" s="48"/>
      <c r="G24" s="48"/>
      <c r="H24" s="49"/>
      <c r="I24" s="50" t="s">
        <v>38</v>
      </c>
      <c r="J24" s="51">
        <f t="shared" si="1"/>
        <v>142070.19</v>
      </c>
      <c r="K24" s="51"/>
      <c r="L24" s="52">
        <v>132125.26999999999</v>
      </c>
      <c r="M24" s="52">
        <v>9944.9200000000001</v>
      </c>
      <c r="N24" s="53"/>
      <c r="O24" s="54"/>
    </row>
    <row r="25" ht="29.25" customHeight="1">
      <c r="A25" s="55" t="s">
        <v>44</v>
      </c>
      <c r="B25" s="56" t="s">
        <v>45</v>
      </c>
      <c r="C25" s="57">
        <v>149</v>
      </c>
      <c r="D25" s="58" t="s">
        <v>46</v>
      </c>
      <c r="E25" s="56" t="s">
        <v>47</v>
      </c>
      <c r="F25" s="56" t="s">
        <v>48</v>
      </c>
      <c r="G25" s="59" t="s">
        <v>49</v>
      </c>
      <c r="H25" s="56" t="s">
        <v>50</v>
      </c>
      <c r="I25" s="60" t="s">
        <v>35</v>
      </c>
      <c r="J25" s="61">
        <f t="shared" si="1"/>
        <v>226309.17999999999</v>
      </c>
      <c r="K25" s="62"/>
      <c r="L25" s="63">
        <f>15632+44923+14891.1+(2742.54+34965.949999999997)</f>
        <v>113154.59</v>
      </c>
      <c r="M25" s="63">
        <f>15632+44923+14891.1+(2742.54+34965.949999999997)</f>
        <v>113154.59</v>
      </c>
      <c r="N25" s="64"/>
      <c r="O25" s="65">
        <f>47787.80183+60255.90437+226073.08+346237.37+65132.66</f>
        <v>745486.8162</v>
      </c>
    </row>
    <row r="26" ht="24.75" customHeight="1">
      <c r="A26" s="55"/>
      <c r="B26" s="56"/>
      <c r="C26" s="57"/>
      <c r="D26" s="66"/>
      <c r="E26" s="56"/>
      <c r="F26" s="56"/>
      <c r="G26" s="67"/>
      <c r="H26" s="56"/>
      <c r="I26" s="60" t="s">
        <v>36</v>
      </c>
      <c r="J26" s="61">
        <f t="shared" ref="J26:J29" si="2">SUM(K26:M26)</f>
        <v>62335.839999999997</v>
      </c>
      <c r="K26" s="62"/>
      <c r="L26" s="63">
        <v>31167.919999999998</v>
      </c>
      <c r="M26" s="63">
        <v>31167.919999999998</v>
      </c>
      <c r="N26" s="64"/>
      <c r="O26" s="68"/>
    </row>
    <row r="27" ht="24" customHeight="1">
      <c r="A27" s="55"/>
      <c r="B27" s="56"/>
      <c r="C27" s="57"/>
      <c r="D27" s="66"/>
      <c r="E27" s="56"/>
      <c r="F27" s="56"/>
      <c r="G27" s="67"/>
      <c r="H27" s="56"/>
      <c r="I27" s="60" t="s">
        <v>37</v>
      </c>
      <c r="J27" s="61">
        <f t="shared" si="2"/>
        <v>346237.35999999999</v>
      </c>
      <c r="K27" s="62"/>
      <c r="L27" s="63">
        <f>104952.67+31167.919999999998+36998.089999999997</f>
        <v>173118.67999999999</v>
      </c>
      <c r="M27" s="63">
        <f>104952.67+31167.919999999998+36998.089999999997</f>
        <v>173118.67999999999</v>
      </c>
      <c r="N27" s="64"/>
      <c r="O27" s="68"/>
    </row>
    <row r="28" ht="30.75" customHeight="1">
      <c r="A28" s="55"/>
      <c r="B28" s="56"/>
      <c r="C28" s="57"/>
      <c r="D28" s="66"/>
      <c r="E28" s="56"/>
      <c r="F28" s="56"/>
      <c r="G28" s="67"/>
      <c r="H28" s="56"/>
      <c r="I28" s="60" t="s">
        <v>38</v>
      </c>
      <c r="J28" s="61">
        <f t="shared" si="2"/>
        <v>122798.48</v>
      </c>
      <c r="K28" s="62"/>
      <c r="L28" s="63">
        <v>61399.239999999998</v>
      </c>
      <c r="M28" s="63">
        <v>61399.239999999998</v>
      </c>
      <c r="N28" s="64"/>
      <c r="O28" s="68"/>
    </row>
    <row r="29" ht="327.75" customHeight="1">
      <c r="A29" s="55"/>
      <c r="B29" s="56"/>
      <c r="C29" s="57"/>
      <c r="D29" s="69"/>
      <c r="E29" s="56"/>
      <c r="F29" s="56"/>
      <c r="G29" s="70"/>
      <c r="H29" s="56"/>
      <c r="I29" s="71" t="s">
        <v>51</v>
      </c>
      <c r="J29" s="72">
        <f t="shared" si="2"/>
        <v>39147.805999999997</v>
      </c>
      <c r="K29" s="73"/>
      <c r="L29" s="74">
        <v>19573.902999999998</v>
      </c>
      <c r="M29" s="74">
        <v>19573.902999999998</v>
      </c>
      <c r="N29" s="75"/>
      <c r="O29" s="68"/>
    </row>
    <row r="30" ht="30" customHeight="1">
      <c r="A30" s="32" t="s">
        <v>52</v>
      </c>
      <c r="B30" s="76" t="s">
        <v>41</v>
      </c>
      <c r="C30" s="77"/>
      <c r="D30" s="77"/>
      <c r="E30" s="77"/>
      <c r="F30" s="77"/>
      <c r="G30" s="77"/>
      <c r="H30" s="78"/>
      <c r="I30" s="35"/>
      <c r="J30" s="37"/>
      <c r="K30" s="79"/>
      <c r="L30" s="37"/>
      <c r="M30" s="37"/>
      <c r="N30" s="80"/>
      <c r="O30" s="68"/>
    </row>
    <row r="31" ht="25.5" customHeight="1">
      <c r="A31" s="25" t="s">
        <v>53</v>
      </c>
      <c r="B31" s="44" t="s">
        <v>43</v>
      </c>
      <c r="C31" s="45"/>
      <c r="D31" s="45"/>
      <c r="E31" s="45"/>
      <c r="F31" s="45"/>
      <c r="G31" s="45"/>
      <c r="H31" s="46"/>
      <c r="I31" s="27" t="s">
        <v>35</v>
      </c>
      <c r="J31" s="28">
        <f t="shared" ref="J31:J41" si="3">SUM(K31:N31)</f>
        <v>226309.17999999999</v>
      </c>
      <c r="K31" s="81"/>
      <c r="L31" s="82">
        <f>15632+44923+14891.1+(2742.54+34965.949999999997)</f>
        <v>113154.59</v>
      </c>
      <c r="M31" s="82">
        <f>15632+44923+14891.1+(2742.54+34965.949999999997)</f>
        <v>113154.59</v>
      </c>
      <c r="N31" s="83"/>
      <c r="O31" s="68"/>
    </row>
    <row r="32" ht="26.25" customHeight="1">
      <c r="A32" s="32"/>
      <c r="B32" s="47"/>
      <c r="C32" s="48"/>
      <c r="D32" s="48"/>
      <c r="E32" s="48"/>
      <c r="F32" s="48"/>
      <c r="G32" s="48"/>
      <c r="H32" s="49"/>
      <c r="I32" s="27" t="s">
        <v>36</v>
      </c>
      <c r="J32" s="28">
        <f t="shared" si="3"/>
        <v>62335.839999999997</v>
      </c>
      <c r="K32" s="81"/>
      <c r="L32" s="82">
        <v>31167.919999999998</v>
      </c>
      <c r="M32" s="82">
        <v>31167.919999999998</v>
      </c>
      <c r="N32" s="83"/>
      <c r="O32" s="68"/>
    </row>
    <row r="33" ht="26.25" customHeight="1">
      <c r="A33" s="32"/>
      <c r="B33" s="47"/>
      <c r="C33" s="48"/>
      <c r="D33" s="48"/>
      <c r="E33" s="48"/>
      <c r="F33" s="48"/>
      <c r="G33" s="48"/>
      <c r="H33" s="49"/>
      <c r="I33" s="27" t="s">
        <v>37</v>
      </c>
      <c r="J33" s="28">
        <f t="shared" si="3"/>
        <v>346237.35999999999</v>
      </c>
      <c r="K33" s="81"/>
      <c r="L33" s="84">
        <v>173118.67999999999</v>
      </c>
      <c r="M33" s="84">
        <v>173118.67999999999</v>
      </c>
      <c r="N33" s="83"/>
      <c r="O33" s="68"/>
    </row>
    <row r="34" ht="26.25" customHeight="1">
      <c r="A34" s="32"/>
      <c r="B34" s="47"/>
      <c r="C34" s="48"/>
      <c r="D34" s="48"/>
      <c r="E34" s="48"/>
      <c r="F34" s="48"/>
      <c r="G34" s="48"/>
      <c r="H34" s="49"/>
      <c r="I34" s="27" t="s">
        <v>38</v>
      </c>
      <c r="J34" s="28">
        <f t="shared" si="3"/>
        <v>122798.48</v>
      </c>
      <c r="K34" s="81"/>
      <c r="L34" s="84">
        <v>61399.239999999998</v>
      </c>
      <c r="M34" s="84">
        <v>61399.239999999998</v>
      </c>
      <c r="N34" s="83"/>
      <c r="O34" s="68"/>
    </row>
    <row r="35" ht="26.25" customHeight="1">
      <c r="A35" s="32"/>
      <c r="B35" s="47"/>
      <c r="C35" s="48"/>
      <c r="D35" s="48"/>
      <c r="E35" s="48"/>
      <c r="F35" s="48"/>
      <c r="G35" s="48"/>
      <c r="H35" s="49"/>
      <c r="I35" s="85" t="s">
        <v>51</v>
      </c>
      <c r="J35" s="86">
        <f t="shared" si="3"/>
        <v>39147.805999999997</v>
      </c>
      <c r="K35" s="87"/>
      <c r="L35" s="88">
        <v>19573.902999999998</v>
      </c>
      <c r="M35" s="88">
        <v>19573.902999999998</v>
      </c>
      <c r="N35" s="89"/>
      <c r="O35" s="68"/>
    </row>
    <row r="36" ht="27" customHeight="1">
      <c r="A36" s="25" t="s">
        <v>54</v>
      </c>
      <c r="B36" s="26" t="s">
        <v>55</v>
      </c>
      <c r="C36" s="23">
        <v>80</v>
      </c>
      <c r="D36" s="23" t="s">
        <v>56</v>
      </c>
      <c r="E36" s="90" t="s">
        <v>57</v>
      </c>
      <c r="F36" s="91" t="s">
        <v>58</v>
      </c>
      <c r="G36" s="26" t="s">
        <v>59</v>
      </c>
      <c r="H36" s="26" t="s">
        <v>60</v>
      </c>
      <c r="I36" s="35" t="s">
        <v>36</v>
      </c>
      <c r="J36" s="28">
        <f t="shared" si="3"/>
        <v>9300</v>
      </c>
      <c r="K36" s="36"/>
      <c r="L36" s="36">
        <v>9300</v>
      </c>
      <c r="M36" s="22"/>
      <c r="N36" s="37"/>
      <c r="O36" s="30">
        <f>9899.58+152676.44+172363.32</f>
        <v>334939.33999999997</v>
      </c>
    </row>
    <row r="37" ht="22.5" customHeight="1">
      <c r="A37" s="32"/>
      <c r="B37" s="33"/>
      <c r="C37" s="23"/>
      <c r="D37" s="23"/>
      <c r="E37" s="90"/>
      <c r="F37" s="91"/>
      <c r="G37" s="33"/>
      <c r="H37" s="33"/>
      <c r="I37" s="35" t="s">
        <v>37</v>
      </c>
      <c r="J37" s="28">
        <f t="shared" si="3"/>
        <v>162666.44</v>
      </c>
      <c r="K37" s="36"/>
      <c r="L37" s="36">
        <f>368000-142097.67999999999-85440+9990</f>
        <v>150452.32000000001</v>
      </c>
      <c r="M37" s="36">
        <v>12214.120000000001</v>
      </c>
      <c r="N37" s="37"/>
      <c r="O37" s="38"/>
    </row>
    <row r="38" ht="28.5" customHeight="1">
      <c r="A38" s="32"/>
      <c r="B38" s="33"/>
      <c r="C38" s="23"/>
      <c r="D38" s="23"/>
      <c r="E38" s="90"/>
      <c r="F38" s="91"/>
      <c r="G38" s="33"/>
      <c r="H38" s="33"/>
      <c r="I38" s="35" t="s">
        <v>38</v>
      </c>
      <c r="J38" s="28">
        <f t="shared" si="3"/>
        <v>172363.32000000001</v>
      </c>
      <c r="K38" s="36"/>
      <c r="L38" s="36">
        <v>158574.25</v>
      </c>
      <c r="M38" s="36">
        <v>13789.07</v>
      </c>
      <c r="N38" s="37"/>
      <c r="O38" s="38"/>
    </row>
    <row r="39" ht="190.5" customHeight="1">
      <c r="A39" s="39"/>
      <c r="B39" s="40"/>
      <c r="C39" s="23"/>
      <c r="D39" s="23"/>
      <c r="E39" s="90"/>
      <c r="F39" s="91"/>
      <c r="G39" s="40"/>
      <c r="H39" s="40"/>
      <c r="I39" s="35" t="s">
        <v>51</v>
      </c>
      <c r="J39" s="28">
        <f t="shared" si="3"/>
        <v>303951.41999999998</v>
      </c>
      <c r="K39" s="36"/>
      <c r="L39" s="36">
        <v>276595.78999999998</v>
      </c>
      <c r="M39" s="36">
        <v>27355.630000000001</v>
      </c>
      <c r="N39" s="37"/>
      <c r="O39" s="38"/>
      <c r="U39" s="3"/>
    </row>
    <row r="40" ht="23.25" customHeight="1">
      <c r="A40" s="25" t="s">
        <v>61</v>
      </c>
      <c r="B40" s="44" t="s">
        <v>41</v>
      </c>
      <c r="C40" s="45"/>
      <c r="D40" s="45"/>
      <c r="E40" s="45"/>
      <c r="F40" s="45"/>
      <c r="G40" s="45"/>
      <c r="H40" s="46"/>
      <c r="I40" s="35" t="s">
        <v>36</v>
      </c>
      <c r="J40" s="28">
        <f t="shared" si="3"/>
        <v>9300</v>
      </c>
      <c r="K40" s="36"/>
      <c r="L40" s="36">
        <v>9300</v>
      </c>
      <c r="M40" s="36"/>
      <c r="N40" s="37"/>
      <c r="O40" s="38"/>
    </row>
    <row r="41" ht="23.25" customHeight="1">
      <c r="A41" s="39"/>
      <c r="B41" s="76"/>
      <c r="C41" s="77"/>
      <c r="D41" s="77"/>
      <c r="E41" s="77"/>
      <c r="F41" s="77"/>
      <c r="G41" s="77"/>
      <c r="H41" s="78"/>
      <c r="I41" s="35" t="s">
        <v>37</v>
      </c>
      <c r="J41" s="28">
        <f t="shared" si="3"/>
        <v>9990</v>
      </c>
      <c r="K41" s="36"/>
      <c r="L41" s="36">
        <v>9990</v>
      </c>
      <c r="M41" s="36"/>
      <c r="N41" s="37"/>
      <c r="O41" s="38"/>
    </row>
    <row r="42" ht="26.25" customHeight="1">
      <c r="A42" s="25" t="s">
        <v>62</v>
      </c>
      <c r="B42" s="44" t="s">
        <v>43</v>
      </c>
      <c r="C42" s="45"/>
      <c r="D42" s="45"/>
      <c r="E42" s="45"/>
      <c r="F42" s="45"/>
      <c r="G42" s="45"/>
      <c r="H42" s="46"/>
      <c r="I42" s="35" t="s">
        <v>37</v>
      </c>
      <c r="J42" s="28">
        <f t="shared" ref="J42:J43" si="4">SUM(L42:M42)</f>
        <v>152676.44</v>
      </c>
      <c r="K42" s="36"/>
      <c r="L42" s="36">
        <v>140462.32000000001</v>
      </c>
      <c r="M42" s="36">
        <v>12214.120000000001</v>
      </c>
      <c r="N42" s="37"/>
      <c r="O42" s="38"/>
    </row>
    <row r="43" ht="24.75" customHeight="1">
      <c r="A43" s="32"/>
      <c r="B43" s="47"/>
      <c r="C43" s="48"/>
      <c r="D43" s="48"/>
      <c r="E43" s="48"/>
      <c r="F43" s="48"/>
      <c r="G43" s="48"/>
      <c r="H43" s="49"/>
      <c r="I43" s="35" t="s">
        <v>38</v>
      </c>
      <c r="J43" s="28">
        <f t="shared" si="4"/>
        <v>172363.32000000001</v>
      </c>
      <c r="K43" s="36"/>
      <c r="L43" s="36">
        <v>158574.25</v>
      </c>
      <c r="M43" s="36">
        <v>13789.07</v>
      </c>
      <c r="N43" s="37"/>
      <c r="O43" s="38"/>
    </row>
    <row r="44" ht="24.75" customHeight="1">
      <c r="A44" s="32"/>
      <c r="B44" s="47"/>
      <c r="C44" s="48"/>
      <c r="D44" s="48"/>
      <c r="E44" s="48"/>
      <c r="F44" s="48"/>
      <c r="G44" s="48"/>
      <c r="H44" s="49"/>
      <c r="I44" s="35" t="s">
        <v>51</v>
      </c>
      <c r="J44" s="28">
        <f>SUM(K44:M44)</f>
        <v>303951.41999999998</v>
      </c>
      <c r="K44" s="36"/>
      <c r="L44" s="36">
        <v>276595.78999999998</v>
      </c>
      <c r="M44" s="36">
        <v>27355.630000000001</v>
      </c>
      <c r="N44" s="37"/>
      <c r="O44" s="54"/>
    </row>
    <row r="45" ht="22.5" customHeight="1">
      <c r="A45" s="55" t="s">
        <v>63</v>
      </c>
      <c r="B45" s="56" t="s">
        <v>64</v>
      </c>
      <c r="C45" s="57">
        <v>154</v>
      </c>
      <c r="D45" s="92" t="s">
        <v>65</v>
      </c>
      <c r="E45" s="56" t="s">
        <v>66</v>
      </c>
      <c r="F45" s="57" t="s">
        <v>67</v>
      </c>
      <c r="G45" s="56" t="s">
        <v>68</v>
      </c>
      <c r="H45" s="56" t="s">
        <v>69</v>
      </c>
      <c r="I45" s="93" t="s">
        <v>37</v>
      </c>
      <c r="J45" s="28">
        <f t="shared" ref="J45:J89" si="5">SUM(K45:N45)</f>
        <v>226000</v>
      </c>
      <c r="K45" s="36"/>
      <c r="L45" s="36">
        <f>115700+85440</f>
        <v>201140</v>
      </c>
      <c r="M45" s="36">
        <v>24860</v>
      </c>
      <c r="N45" s="37"/>
      <c r="O45" s="30">
        <f>225592.87+400095.48</f>
        <v>625688.34999999998</v>
      </c>
    </row>
    <row r="46" ht="22.5" customHeight="1">
      <c r="A46" s="55"/>
      <c r="B46" s="56"/>
      <c r="C46" s="57"/>
      <c r="D46" s="92"/>
      <c r="E46" s="56"/>
      <c r="F46" s="57"/>
      <c r="G46" s="56"/>
      <c r="H46" s="56"/>
      <c r="I46" s="93" t="s">
        <v>38</v>
      </c>
      <c r="J46" s="28">
        <f t="shared" si="5"/>
        <v>400473.67999999999</v>
      </c>
      <c r="K46" s="36"/>
      <c r="L46" s="36">
        <v>360426.31</v>
      </c>
      <c r="M46" s="36">
        <v>40047.370000000003</v>
      </c>
      <c r="N46" s="37"/>
      <c r="O46" s="38"/>
      <c r="U46" s="94"/>
    </row>
    <row r="47" ht="234.75" customHeight="1">
      <c r="A47" s="55"/>
      <c r="B47" s="56"/>
      <c r="C47" s="57"/>
      <c r="D47" s="92"/>
      <c r="E47" s="56"/>
      <c r="F47" s="57"/>
      <c r="G47" s="56"/>
      <c r="H47" s="56"/>
      <c r="I47" s="95" t="s">
        <v>51</v>
      </c>
      <c r="J47" s="96">
        <f t="shared" si="5"/>
        <v>369.98000000000002</v>
      </c>
      <c r="K47" s="97"/>
      <c r="L47" s="97">
        <v>340.38</v>
      </c>
      <c r="M47" s="97">
        <v>29.600000000000001</v>
      </c>
      <c r="N47" s="98"/>
      <c r="O47" s="38"/>
      <c r="U47" s="94"/>
    </row>
    <row r="48" ht="23.25" customHeight="1">
      <c r="A48" s="39" t="s">
        <v>70</v>
      </c>
      <c r="B48" s="76" t="s">
        <v>41</v>
      </c>
      <c r="C48" s="77"/>
      <c r="D48" s="77"/>
      <c r="E48" s="77"/>
      <c r="F48" s="77"/>
      <c r="G48" s="77"/>
      <c r="H48" s="78"/>
      <c r="I48" s="35"/>
      <c r="J48" s="28"/>
      <c r="K48" s="36"/>
      <c r="L48" s="36"/>
      <c r="M48" s="36"/>
      <c r="N48" s="37"/>
      <c r="O48" s="38"/>
    </row>
    <row r="49" ht="26.25" customHeight="1">
      <c r="A49" s="25" t="s">
        <v>71</v>
      </c>
      <c r="B49" s="44" t="s">
        <v>43</v>
      </c>
      <c r="C49" s="45"/>
      <c r="D49" s="45"/>
      <c r="E49" s="45"/>
      <c r="F49" s="45"/>
      <c r="G49" s="45"/>
      <c r="H49" s="46"/>
      <c r="I49" s="35" t="s">
        <v>37</v>
      </c>
      <c r="J49" s="28">
        <f t="shared" si="5"/>
        <v>226000</v>
      </c>
      <c r="K49" s="36"/>
      <c r="L49" s="36">
        <v>201140</v>
      </c>
      <c r="M49" s="36">
        <v>24860</v>
      </c>
      <c r="N49" s="37"/>
      <c r="O49" s="38"/>
    </row>
    <row r="50" ht="24.75" customHeight="1">
      <c r="A50" s="39"/>
      <c r="B50" s="76"/>
      <c r="C50" s="77"/>
      <c r="D50" s="77"/>
      <c r="E50" s="77"/>
      <c r="F50" s="77"/>
      <c r="G50" s="77"/>
      <c r="H50" s="78"/>
      <c r="I50" s="35" t="s">
        <v>38</v>
      </c>
      <c r="J50" s="28">
        <f t="shared" si="5"/>
        <v>400473.67999999999</v>
      </c>
      <c r="K50" s="36"/>
      <c r="L50" s="36">
        <v>360426.31</v>
      </c>
      <c r="M50" s="36">
        <v>40047.370000000003</v>
      </c>
      <c r="N50" s="37"/>
      <c r="O50" s="38"/>
    </row>
    <row r="51" ht="24.75" customHeight="1">
      <c r="A51" s="32"/>
      <c r="B51" s="47"/>
      <c r="C51" s="48"/>
      <c r="D51" s="77"/>
      <c r="E51" s="77"/>
      <c r="F51" s="77"/>
      <c r="G51" s="48"/>
      <c r="H51" s="49"/>
      <c r="I51" s="85" t="s">
        <v>51</v>
      </c>
      <c r="J51" s="96">
        <f t="shared" si="5"/>
        <v>369.98000000000002</v>
      </c>
      <c r="K51" s="97"/>
      <c r="L51" s="97">
        <v>340.38</v>
      </c>
      <c r="M51" s="97">
        <v>29.600000000000001</v>
      </c>
      <c r="N51" s="98"/>
      <c r="O51" s="38"/>
    </row>
    <row r="52" ht="26.25" customHeight="1">
      <c r="A52" s="25" t="s">
        <v>72</v>
      </c>
      <c r="B52" s="26" t="s">
        <v>73</v>
      </c>
      <c r="C52" s="14">
        <v>85</v>
      </c>
      <c r="D52" s="23" t="s">
        <v>74</v>
      </c>
      <c r="E52" s="90" t="s">
        <v>75</v>
      </c>
      <c r="F52" s="23" t="s">
        <v>76</v>
      </c>
      <c r="G52" s="26" t="s">
        <v>77</v>
      </c>
      <c r="H52" s="26" t="s">
        <v>77</v>
      </c>
      <c r="I52" s="35" t="s">
        <v>37</v>
      </c>
      <c r="J52" s="28">
        <f t="shared" si="5"/>
        <v>97110</v>
      </c>
      <c r="K52" s="22"/>
      <c r="L52" s="99">
        <v>96138.899999999994</v>
      </c>
      <c r="M52" s="99">
        <v>971.09999999999991</v>
      </c>
      <c r="N52" s="37"/>
      <c r="O52" s="30">
        <f>97110+6647.34</f>
        <v>103757.34</v>
      </c>
    </row>
    <row r="53" ht="126" customHeight="1">
      <c r="A53" s="39"/>
      <c r="B53" s="40"/>
      <c r="C53" s="20"/>
      <c r="D53" s="23"/>
      <c r="E53" s="90"/>
      <c r="F53" s="23"/>
      <c r="G53" s="40"/>
      <c r="H53" s="40"/>
      <c r="I53" s="35" t="s">
        <v>38</v>
      </c>
      <c r="J53" s="28">
        <f t="shared" si="5"/>
        <v>226590</v>
      </c>
      <c r="K53" s="22"/>
      <c r="L53" s="28">
        <v>224324.10000000001</v>
      </c>
      <c r="M53" s="28">
        <v>2265.9000000000001</v>
      </c>
      <c r="N53" s="37"/>
      <c r="O53" s="38"/>
    </row>
    <row r="54" ht="26.25" customHeight="1">
      <c r="A54" s="25" t="s">
        <v>78</v>
      </c>
      <c r="B54" s="41" t="s">
        <v>41</v>
      </c>
      <c r="C54" s="42"/>
      <c r="D54" s="42"/>
      <c r="E54" s="42"/>
      <c r="F54" s="42"/>
      <c r="G54" s="42"/>
      <c r="H54" s="43"/>
      <c r="I54" s="35"/>
      <c r="J54" s="28"/>
      <c r="K54" s="22"/>
      <c r="L54" s="22"/>
      <c r="M54" s="22"/>
      <c r="N54" s="37"/>
      <c r="O54" s="38"/>
      <c r="V54" s="3"/>
    </row>
    <row r="55" ht="26.25" customHeight="1">
      <c r="A55" s="25" t="s">
        <v>79</v>
      </c>
      <c r="B55" s="44" t="s">
        <v>43</v>
      </c>
      <c r="C55" s="45"/>
      <c r="D55" s="45"/>
      <c r="E55" s="45"/>
      <c r="F55" s="45"/>
      <c r="G55" s="45"/>
      <c r="H55" s="46"/>
      <c r="I55" s="35" t="s">
        <v>37</v>
      </c>
      <c r="J55" s="28">
        <f t="shared" si="5"/>
        <v>97110</v>
      </c>
      <c r="K55" s="22"/>
      <c r="L55" s="99">
        <v>96138.899999999994</v>
      </c>
      <c r="M55" s="99">
        <v>971.09999999999991</v>
      </c>
      <c r="N55" s="37"/>
      <c r="O55" s="38"/>
      <c r="V55" s="3"/>
    </row>
    <row r="56" ht="26.25" customHeight="1">
      <c r="A56" s="32"/>
      <c r="B56" s="47"/>
      <c r="C56" s="48"/>
      <c r="D56" s="48"/>
      <c r="E56" s="48"/>
      <c r="F56" s="48"/>
      <c r="G56" s="48"/>
      <c r="H56" s="49"/>
      <c r="I56" s="35" t="s">
        <v>38</v>
      </c>
      <c r="J56" s="28">
        <f t="shared" si="5"/>
        <v>226590</v>
      </c>
      <c r="K56" s="22"/>
      <c r="L56" s="99">
        <v>224324.10000000001</v>
      </c>
      <c r="M56" s="99">
        <v>2265.9000000000001</v>
      </c>
      <c r="N56" s="37"/>
      <c r="O56" s="54"/>
      <c r="V56" s="3"/>
    </row>
    <row r="57" ht="26.25" customHeight="1">
      <c r="A57" s="55" t="s">
        <v>80</v>
      </c>
      <c r="B57" s="56" t="s">
        <v>81</v>
      </c>
      <c r="C57" s="57">
        <v>52</v>
      </c>
      <c r="D57" s="57" t="s">
        <v>82</v>
      </c>
      <c r="E57" s="57" t="s">
        <v>83</v>
      </c>
      <c r="F57" s="57" t="s">
        <v>84</v>
      </c>
      <c r="G57" s="56" t="s">
        <v>85</v>
      </c>
      <c r="H57" s="56" t="s">
        <v>85</v>
      </c>
      <c r="I57" s="93" t="s">
        <v>37</v>
      </c>
      <c r="J57" s="28">
        <f t="shared" si="5"/>
        <v>39000</v>
      </c>
      <c r="K57" s="22"/>
      <c r="L57" s="99">
        <v>35880</v>
      </c>
      <c r="M57" s="99">
        <v>3120</v>
      </c>
      <c r="N57" s="37"/>
      <c r="O57" s="30">
        <f>39000+54554.44</f>
        <v>93554.440000000002</v>
      </c>
      <c r="V57" s="3"/>
    </row>
    <row r="58" ht="25.5" customHeight="1">
      <c r="A58" s="55"/>
      <c r="B58" s="56"/>
      <c r="C58" s="57"/>
      <c r="D58" s="57"/>
      <c r="E58" s="57"/>
      <c r="F58" s="57"/>
      <c r="G58" s="56"/>
      <c r="H58" s="56"/>
      <c r="I58" s="93" t="s">
        <v>38</v>
      </c>
      <c r="J58" s="28">
        <f t="shared" si="5"/>
        <v>54554.439999999995</v>
      </c>
      <c r="K58" s="22"/>
      <c r="L58" s="28">
        <v>50190.089999999997</v>
      </c>
      <c r="M58" s="28">
        <v>4364.3500000000004</v>
      </c>
      <c r="N58" s="37"/>
      <c r="O58" s="38"/>
      <c r="V58" s="3">
        <f>L58/J58*100</f>
        <v>92.000009531763141</v>
      </c>
    </row>
    <row r="59" ht="107.25" customHeight="1">
      <c r="A59" s="55"/>
      <c r="B59" s="56"/>
      <c r="C59" s="57"/>
      <c r="D59" s="57"/>
      <c r="E59" s="57"/>
      <c r="F59" s="57"/>
      <c r="G59" s="56"/>
      <c r="H59" s="56"/>
      <c r="I59" s="93" t="s">
        <v>51</v>
      </c>
      <c r="J59" s="28">
        <f t="shared" si="5"/>
        <v>98567.559999999998</v>
      </c>
      <c r="K59" s="22"/>
      <c r="L59" s="28">
        <v>90682.149999999994</v>
      </c>
      <c r="M59" s="28">
        <v>7885.4099999999999</v>
      </c>
      <c r="N59" s="37"/>
      <c r="O59" s="38"/>
    </row>
    <row r="60" ht="26.25" customHeight="1">
      <c r="A60" s="32" t="s">
        <v>86</v>
      </c>
      <c r="B60" s="76" t="s">
        <v>41</v>
      </c>
      <c r="C60" s="77"/>
      <c r="D60" s="77"/>
      <c r="E60" s="77"/>
      <c r="F60" s="77"/>
      <c r="G60" s="77"/>
      <c r="H60" s="78"/>
      <c r="I60" s="35"/>
      <c r="J60" s="28"/>
      <c r="K60" s="22"/>
      <c r="L60" s="22"/>
      <c r="M60" s="22"/>
      <c r="N60" s="37"/>
      <c r="O60" s="38"/>
    </row>
    <row r="61" ht="26.25" customHeight="1">
      <c r="A61" s="25" t="s">
        <v>87</v>
      </c>
      <c r="B61" s="100" t="s">
        <v>43</v>
      </c>
      <c r="C61" s="101"/>
      <c r="D61" s="101"/>
      <c r="E61" s="101"/>
      <c r="F61" s="101"/>
      <c r="G61" s="101"/>
      <c r="H61" s="102"/>
      <c r="I61" s="35" t="s">
        <v>37</v>
      </c>
      <c r="J61" s="28">
        <f t="shared" si="5"/>
        <v>39000</v>
      </c>
      <c r="K61" s="22"/>
      <c r="L61" s="103">
        <v>35880</v>
      </c>
      <c r="M61" s="99">
        <v>3120</v>
      </c>
      <c r="N61" s="37"/>
      <c r="O61" s="38"/>
    </row>
    <row r="62" ht="26.25" customHeight="1">
      <c r="A62" s="32"/>
      <c r="B62" s="104"/>
      <c r="C62" s="105"/>
      <c r="D62" s="105"/>
      <c r="E62" s="105"/>
      <c r="F62" s="105"/>
      <c r="G62" s="105"/>
      <c r="H62" s="106"/>
      <c r="I62" s="35" t="s">
        <v>38</v>
      </c>
      <c r="J62" s="28">
        <f t="shared" si="5"/>
        <v>54554.439999999995</v>
      </c>
      <c r="K62" s="107"/>
      <c r="L62" s="61">
        <v>50190.089999999997</v>
      </c>
      <c r="M62" s="108">
        <v>4364.3500000000004</v>
      </c>
      <c r="N62" s="37"/>
      <c r="O62" s="38"/>
    </row>
    <row r="63" ht="26.25" customHeight="1">
      <c r="A63" s="32"/>
      <c r="B63" s="104"/>
      <c r="C63" s="105"/>
      <c r="D63" s="105"/>
      <c r="E63" s="105"/>
      <c r="F63" s="105"/>
      <c r="G63" s="105"/>
      <c r="H63" s="106"/>
      <c r="I63" s="35" t="s">
        <v>51</v>
      </c>
      <c r="J63" s="28">
        <f t="shared" si="5"/>
        <v>98567.559999999998</v>
      </c>
      <c r="K63" s="107"/>
      <c r="L63" s="61">
        <v>90682.149999999994</v>
      </c>
      <c r="M63" s="108">
        <v>7885.4099999999999</v>
      </c>
      <c r="N63" s="37"/>
      <c r="O63" s="38"/>
    </row>
    <row r="64" ht="26.25" customHeight="1">
      <c r="A64" s="25" t="s">
        <v>88</v>
      </c>
      <c r="B64" s="109" t="s">
        <v>89</v>
      </c>
      <c r="C64" s="14">
        <v>72</v>
      </c>
      <c r="D64" s="14" t="s">
        <v>90</v>
      </c>
      <c r="E64" s="14" t="s">
        <v>91</v>
      </c>
      <c r="F64" s="14" t="s">
        <v>92</v>
      </c>
      <c r="G64" s="26" t="s">
        <v>93</v>
      </c>
      <c r="H64" s="26" t="s">
        <v>93</v>
      </c>
      <c r="I64" s="35" t="s">
        <v>51</v>
      </c>
      <c r="J64" s="28">
        <f t="shared" si="5"/>
        <v>274536.71999999997</v>
      </c>
      <c r="K64" s="99">
        <v>120000</v>
      </c>
      <c r="L64" s="110">
        <v>135319.14999999999</v>
      </c>
      <c r="M64" s="99">
        <v>19217.57</v>
      </c>
      <c r="N64" s="37"/>
      <c r="O64" s="111"/>
    </row>
    <row r="65" ht="99.75" customHeight="1">
      <c r="A65" s="39"/>
      <c r="B65" s="112"/>
      <c r="C65" s="20"/>
      <c r="D65" s="20"/>
      <c r="E65" s="20"/>
      <c r="F65" s="20"/>
      <c r="G65" s="40"/>
      <c r="H65" s="40"/>
      <c r="I65" s="35" t="s">
        <v>94</v>
      </c>
      <c r="J65" s="28">
        <f t="shared" si="5"/>
        <v>14070.220000000001</v>
      </c>
      <c r="K65" s="22"/>
      <c r="L65" s="28">
        <v>12944.6</v>
      </c>
      <c r="M65" s="28">
        <v>1125.6199999999999</v>
      </c>
      <c r="N65" s="37"/>
      <c r="O65" s="113"/>
    </row>
    <row r="66" ht="26.25" customHeight="1">
      <c r="A66" s="25" t="s">
        <v>95</v>
      </c>
      <c r="B66" s="41" t="s">
        <v>41</v>
      </c>
      <c r="C66" s="42"/>
      <c r="D66" s="42"/>
      <c r="E66" s="42"/>
      <c r="F66" s="42"/>
      <c r="G66" s="42"/>
      <c r="H66" s="43"/>
      <c r="I66" s="35"/>
      <c r="J66" s="28"/>
      <c r="K66" s="22"/>
      <c r="L66" s="22"/>
      <c r="M66" s="22"/>
      <c r="N66" s="37"/>
      <c r="O66" s="113"/>
    </row>
    <row r="67" ht="26.25" customHeight="1">
      <c r="A67" s="25" t="s">
        <v>96</v>
      </c>
      <c r="B67" s="44" t="s">
        <v>43</v>
      </c>
      <c r="C67" s="45"/>
      <c r="D67" s="45"/>
      <c r="E67" s="45"/>
      <c r="F67" s="45"/>
      <c r="G67" s="45"/>
      <c r="H67" s="46"/>
      <c r="I67" s="35" t="s">
        <v>51</v>
      </c>
      <c r="J67" s="28">
        <f t="shared" si="5"/>
        <v>274536.71999999997</v>
      </c>
      <c r="K67" s="99">
        <v>120000</v>
      </c>
      <c r="L67" s="99">
        <v>135319.14999999999</v>
      </c>
      <c r="M67" s="99">
        <v>19217.57</v>
      </c>
      <c r="N67" s="37"/>
      <c r="O67" s="113"/>
    </row>
    <row r="68" ht="26.25" customHeight="1">
      <c r="A68" s="39"/>
      <c r="B68" s="76"/>
      <c r="C68" s="77"/>
      <c r="D68" s="77"/>
      <c r="E68" s="77"/>
      <c r="F68" s="77"/>
      <c r="G68" s="77"/>
      <c r="H68" s="78"/>
      <c r="I68" s="35" t="s">
        <v>94</v>
      </c>
      <c r="J68" s="28">
        <f t="shared" si="5"/>
        <v>14070.220000000001</v>
      </c>
      <c r="K68" s="22"/>
      <c r="L68" s="99">
        <v>12944.6</v>
      </c>
      <c r="M68" s="99">
        <v>1125.6199999999999</v>
      </c>
      <c r="N68" s="37"/>
      <c r="O68" s="114"/>
    </row>
    <row r="69" s="3" customFormat="1" ht="23.25" customHeight="1">
      <c r="A69" s="50" t="s">
        <v>97</v>
      </c>
      <c r="B69" s="26" t="s">
        <v>98</v>
      </c>
      <c r="C69" s="14">
        <v>157</v>
      </c>
      <c r="D69" s="14" t="s">
        <v>99</v>
      </c>
      <c r="E69" s="26" t="s">
        <v>100</v>
      </c>
      <c r="F69" s="14" t="s">
        <v>101</v>
      </c>
      <c r="G69" s="26" t="s">
        <v>102</v>
      </c>
      <c r="H69" s="26" t="s">
        <v>102</v>
      </c>
      <c r="I69" s="23">
        <v>2025</v>
      </c>
      <c r="J69" s="28">
        <f t="shared" si="5"/>
        <v>365732.18374000001</v>
      </c>
      <c r="K69" s="29"/>
      <c r="L69" s="28">
        <v>365732.18374000001</v>
      </c>
      <c r="M69" s="29"/>
      <c r="N69" s="23"/>
      <c r="O69" s="30">
        <v>418709.58000000002</v>
      </c>
    </row>
    <row r="70" s="3" customFormat="1" ht="24.75" customHeight="1">
      <c r="A70" s="115"/>
      <c r="B70" s="33"/>
      <c r="C70" s="34"/>
      <c r="D70" s="34"/>
      <c r="E70" s="33"/>
      <c r="F70" s="34"/>
      <c r="G70" s="33"/>
      <c r="H70" s="33"/>
      <c r="I70" s="14">
        <v>2026</v>
      </c>
      <c r="J70" s="116">
        <f t="shared" si="5"/>
        <v>52977.400000000001</v>
      </c>
      <c r="K70" s="53"/>
      <c r="L70" s="116">
        <v>52977.400000000001</v>
      </c>
      <c r="M70" s="53"/>
      <c r="N70" s="14"/>
      <c r="O70" s="38"/>
    </row>
    <row r="71" s="3" customFormat="1" ht="23.25" customHeight="1">
      <c r="A71" s="115"/>
      <c r="B71" s="33"/>
      <c r="C71" s="34"/>
      <c r="D71" s="34"/>
      <c r="E71" s="33"/>
      <c r="F71" s="34"/>
      <c r="G71" s="33"/>
      <c r="H71" s="33"/>
      <c r="I71" s="34"/>
      <c r="J71" s="117"/>
      <c r="K71" s="118"/>
      <c r="L71" s="117"/>
      <c r="M71" s="118"/>
      <c r="N71" s="34"/>
      <c r="O71" s="38"/>
    </row>
    <row r="72" s="3" customFormat="1" ht="177" customHeight="1">
      <c r="A72" s="35"/>
      <c r="B72" s="40"/>
      <c r="C72" s="20"/>
      <c r="D72" s="20"/>
      <c r="E72" s="40"/>
      <c r="F72" s="20"/>
      <c r="G72" s="40"/>
      <c r="H72" s="40"/>
      <c r="I72" s="20"/>
      <c r="J72" s="97"/>
      <c r="K72" s="37"/>
      <c r="L72" s="97"/>
      <c r="M72" s="37"/>
      <c r="N72" s="20"/>
      <c r="O72" s="54"/>
    </row>
    <row r="73" s="119" customFormat="1" ht="231" customHeight="1">
      <c r="A73" s="27" t="s">
        <v>103</v>
      </c>
      <c r="B73" s="120" t="s">
        <v>104</v>
      </c>
      <c r="C73" s="121">
        <v>95</v>
      </c>
      <c r="D73" s="122" t="s">
        <v>105</v>
      </c>
      <c r="E73" s="120" t="s">
        <v>106</v>
      </c>
      <c r="F73" s="120" t="s">
        <v>107</v>
      </c>
      <c r="G73" s="122" t="s">
        <v>108</v>
      </c>
      <c r="H73" s="122" t="s">
        <v>109</v>
      </c>
      <c r="I73" s="20">
        <v>2025</v>
      </c>
      <c r="J73" s="36">
        <f t="shared" si="5"/>
        <v>182248.38602999997</v>
      </c>
      <c r="K73" s="123"/>
      <c r="L73" s="36">
        <f>2766.02+185213.81-20311.31244</f>
        <v>167668.51755999998</v>
      </c>
      <c r="M73" s="36">
        <f>240.52+16105.55-1766.20153</f>
        <v>14579.868469999999</v>
      </c>
      <c r="N73" s="124"/>
      <c r="O73" s="30">
        <v>182572.78</v>
      </c>
      <c r="U73" s="3"/>
    </row>
    <row r="74" s="3" customFormat="1" ht="27.75" customHeight="1">
      <c r="A74" s="39" t="s">
        <v>110</v>
      </c>
      <c r="B74" s="41" t="s">
        <v>41</v>
      </c>
      <c r="C74" s="42"/>
      <c r="D74" s="42"/>
      <c r="E74" s="42"/>
      <c r="F74" s="42"/>
      <c r="G74" s="42"/>
      <c r="H74" s="43"/>
      <c r="I74" s="23"/>
      <c r="J74" s="36"/>
      <c r="K74" s="36"/>
      <c r="L74" s="36"/>
      <c r="M74" s="125"/>
      <c r="N74" s="126"/>
      <c r="O74" s="38"/>
    </row>
    <row r="75" s="3" customFormat="1" ht="24.75" customHeight="1">
      <c r="A75" s="127" t="s">
        <v>111</v>
      </c>
      <c r="B75" s="100" t="s">
        <v>43</v>
      </c>
      <c r="C75" s="101"/>
      <c r="D75" s="101"/>
      <c r="E75" s="101"/>
      <c r="F75" s="101"/>
      <c r="G75" s="101"/>
      <c r="H75" s="102"/>
      <c r="I75" s="23">
        <v>2025</v>
      </c>
      <c r="J75" s="36">
        <v>182248.39000000001</v>
      </c>
      <c r="K75" s="36"/>
      <c r="L75" s="36">
        <v>167668.51999999999</v>
      </c>
      <c r="M75" s="36">
        <v>14579.870000000001</v>
      </c>
      <c r="N75" s="126"/>
      <c r="O75" s="54"/>
    </row>
    <row r="76" s="119" customFormat="1" ht="231" customHeight="1">
      <c r="A76" s="27" t="s">
        <v>112</v>
      </c>
      <c r="B76" s="128" t="s">
        <v>113</v>
      </c>
      <c r="C76" s="121">
        <v>32</v>
      </c>
      <c r="D76" s="129" t="s">
        <v>114</v>
      </c>
      <c r="E76" s="120" t="s">
        <v>115</v>
      </c>
      <c r="F76" s="120" t="s">
        <v>116</v>
      </c>
      <c r="G76" s="122" t="s">
        <v>117</v>
      </c>
      <c r="H76" s="122" t="s">
        <v>117</v>
      </c>
      <c r="I76" s="20">
        <v>2026</v>
      </c>
      <c r="J76" s="36">
        <f t="shared" si="5"/>
        <v>155041.69999999998</v>
      </c>
      <c r="K76" s="36">
        <v>71412.199999999997</v>
      </c>
      <c r="L76" s="36">
        <v>80528.669999999998</v>
      </c>
      <c r="M76" s="36">
        <v>3100.8299999999999</v>
      </c>
      <c r="N76" s="124"/>
      <c r="O76" s="130"/>
    </row>
    <row r="77" s="3" customFormat="1" ht="27.75" customHeight="1">
      <c r="A77" s="39" t="s">
        <v>118</v>
      </c>
      <c r="B77" s="41" t="s">
        <v>41</v>
      </c>
      <c r="C77" s="42"/>
      <c r="D77" s="42"/>
      <c r="E77" s="42"/>
      <c r="F77" s="42"/>
      <c r="G77" s="42"/>
      <c r="H77" s="43"/>
      <c r="I77" s="23"/>
      <c r="J77" s="36"/>
      <c r="K77" s="36"/>
      <c r="L77" s="36"/>
      <c r="M77" s="125"/>
      <c r="N77" s="126"/>
      <c r="O77" s="131"/>
      <c r="U77" s="3"/>
    </row>
    <row r="78" s="3" customFormat="1" ht="24.75" customHeight="1">
      <c r="A78" s="127" t="s">
        <v>119</v>
      </c>
      <c r="B78" s="100" t="s">
        <v>43</v>
      </c>
      <c r="C78" s="101"/>
      <c r="D78" s="101"/>
      <c r="E78" s="101"/>
      <c r="F78" s="101"/>
      <c r="G78" s="101"/>
      <c r="H78" s="102"/>
      <c r="I78" s="23">
        <v>2026</v>
      </c>
      <c r="J78" s="36">
        <f t="shared" si="5"/>
        <v>155041.69999999998</v>
      </c>
      <c r="K78" s="36">
        <v>71412.199999999997</v>
      </c>
      <c r="L78" s="36">
        <v>80528.669999999998</v>
      </c>
      <c r="M78" s="36">
        <v>3100.8299999999999</v>
      </c>
      <c r="N78" s="126"/>
      <c r="O78" s="132"/>
    </row>
    <row r="79" s="3" customFormat="1" ht="27" customHeight="1">
      <c r="A79" s="50"/>
      <c r="B79" s="44" t="s">
        <v>120</v>
      </c>
      <c r="C79" s="45"/>
      <c r="D79" s="45"/>
      <c r="E79" s="45"/>
      <c r="F79" s="45"/>
      <c r="G79" s="45"/>
      <c r="H79" s="46"/>
      <c r="I79" s="133">
        <v>2029</v>
      </c>
      <c r="J79" s="28">
        <f t="shared" si="5"/>
        <v>618000</v>
      </c>
      <c r="K79" s="134"/>
      <c r="L79" s="28">
        <v>550000</v>
      </c>
      <c r="M79" s="135">
        <v>68000</v>
      </c>
      <c r="N79" s="23"/>
      <c r="O79" s="23"/>
    </row>
    <row r="80" s="3" customFormat="1" ht="26.25" customHeight="1">
      <c r="A80" s="115"/>
      <c r="B80" s="47"/>
      <c r="C80" s="48"/>
      <c r="D80" s="48"/>
      <c r="E80" s="48"/>
      <c r="F80" s="48"/>
      <c r="G80" s="48"/>
      <c r="H80" s="49"/>
      <c r="I80" s="23">
        <v>2030</v>
      </c>
      <c r="J80" s="134">
        <f t="shared" si="5"/>
        <v>618000</v>
      </c>
      <c r="K80" s="28"/>
      <c r="L80" s="134">
        <v>550000</v>
      </c>
      <c r="M80" s="136">
        <v>68000</v>
      </c>
      <c r="N80" s="23"/>
      <c r="O80" s="23"/>
    </row>
    <row r="81" s="137" customFormat="1" ht="24.75" customHeight="1">
      <c r="A81" s="138"/>
      <c r="B81" s="44" t="s">
        <v>121</v>
      </c>
      <c r="C81" s="45"/>
      <c r="D81" s="45"/>
      <c r="E81" s="45"/>
      <c r="F81" s="45"/>
      <c r="G81" s="45"/>
      <c r="H81" s="46"/>
      <c r="I81" s="139" t="s">
        <v>35</v>
      </c>
      <c r="J81" s="82">
        <f t="shared" si="5"/>
        <v>337448.97999999998</v>
      </c>
      <c r="K81" s="82"/>
      <c r="L81" s="82">
        <f>SUM(L16,L25)</f>
        <v>216514.59</v>
      </c>
      <c r="M81" s="82">
        <f>SUM(M16,M25)</f>
        <v>120934.39</v>
      </c>
      <c r="N81" s="81"/>
      <c r="O81" s="140"/>
      <c r="U81" s="141"/>
    </row>
    <row r="82" ht="21">
      <c r="A82" s="142"/>
      <c r="B82" s="47"/>
      <c r="C82" s="48"/>
      <c r="D82" s="48"/>
      <c r="E82" s="48"/>
      <c r="F82" s="48"/>
      <c r="G82" s="48"/>
      <c r="H82" s="49"/>
      <c r="I82" s="139" t="s">
        <v>36</v>
      </c>
      <c r="J82" s="82">
        <f t="shared" si="5"/>
        <v>116980.13999999998</v>
      </c>
      <c r="K82" s="82"/>
      <c r="L82" s="82">
        <f>SUM(L17,L26,L36)</f>
        <v>82638.119999999995</v>
      </c>
      <c r="M82" s="82">
        <f>SUM(M17,M26,M36)</f>
        <v>34342.019999999997</v>
      </c>
      <c r="N82" s="81"/>
      <c r="O82" s="126"/>
      <c r="U82" s="143"/>
      <c r="V82" s="19"/>
    </row>
    <row r="83" ht="21">
      <c r="A83" s="142"/>
      <c r="B83" s="47"/>
      <c r="C83" s="48"/>
      <c r="D83" s="48"/>
      <c r="E83" s="48"/>
      <c r="F83" s="48"/>
      <c r="G83" s="48"/>
      <c r="H83" s="49"/>
      <c r="I83" s="139" t="s">
        <v>37</v>
      </c>
      <c r="J83" s="82">
        <f t="shared" si="5"/>
        <v>941966.94130434783</v>
      </c>
      <c r="K83" s="82"/>
      <c r="L83" s="82">
        <f>SUM(L18,L27,L37,L45,L52,L57)</f>
        <v>722006.79000000004</v>
      </c>
      <c r="M83" s="82">
        <f>SUM(M18,M27,M37,M45,M52,M57)</f>
        <v>219960.15130434782</v>
      </c>
      <c r="N83" s="81"/>
      <c r="O83" s="126"/>
      <c r="U83" s="143"/>
      <c r="V83" s="19"/>
    </row>
    <row r="84" ht="23.25" customHeight="1">
      <c r="A84" s="142"/>
      <c r="B84" s="47"/>
      <c r="C84" s="48"/>
      <c r="D84" s="48"/>
      <c r="E84" s="48"/>
      <c r="F84" s="48"/>
      <c r="G84" s="48"/>
      <c r="H84" s="49"/>
      <c r="I84" s="139" t="s">
        <v>38</v>
      </c>
      <c r="J84" s="82">
        <f t="shared" si="5"/>
        <v>1666830.67977</v>
      </c>
      <c r="K84" s="81"/>
      <c r="L84" s="82">
        <f>SUM(L19,L28,L38,L46,L53,L58,L69,L73)</f>
        <v>1520439.9613000001</v>
      </c>
      <c r="M84" s="82">
        <f>SUM(M19,M28,M38,M46,M53,M58,M69,M73)</f>
        <v>146390.71846999999</v>
      </c>
      <c r="N84" s="81"/>
      <c r="O84" s="126"/>
      <c r="U84" s="143"/>
      <c r="V84" s="19"/>
    </row>
    <row r="85" ht="17.25">
      <c r="A85" s="142"/>
      <c r="B85" s="47"/>
      <c r="C85" s="48"/>
      <c r="D85" s="48"/>
      <c r="E85" s="48"/>
      <c r="F85" s="48"/>
      <c r="G85" s="48"/>
      <c r="H85" s="49"/>
      <c r="I85" s="139" t="s">
        <v>51</v>
      </c>
      <c r="J85" s="144">
        <f t="shared" si="5"/>
        <v>924592.58600000013</v>
      </c>
      <c r="K85" s="82">
        <f>SUM(K39,K64,K70,K76)</f>
        <v>191412.20000000001</v>
      </c>
      <c r="L85" s="144">
        <f>SUM(L39,L64,L70,L76,L63,L47,L35)</f>
        <v>656017.44300000009</v>
      </c>
      <c r="M85" s="144">
        <f>SUM(M39,M64,M70,M76,M63,M47,M35)</f>
        <v>77162.942999999999</v>
      </c>
      <c r="N85" s="81"/>
      <c r="O85" s="126"/>
    </row>
    <row r="86" ht="17.25">
      <c r="A86" s="142"/>
      <c r="B86" s="47"/>
      <c r="C86" s="48"/>
      <c r="D86" s="48"/>
      <c r="E86" s="48"/>
      <c r="F86" s="48"/>
      <c r="G86" s="48"/>
      <c r="H86" s="49"/>
      <c r="I86" s="139" t="s">
        <v>94</v>
      </c>
      <c r="J86" s="81">
        <f t="shared" si="5"/>
        <v>14070.220000000001</v>
      </c>
      <c r="K86" s="82"/>
      <c r="L86" s="82">
        <f>SUM(L65)</f>
        <v>12944.6</v>
      </c>
      <c r="M86" s="82">
        <f>SUM(M65)</f>
        <v>1125.6199999999999</v>
      </c>
      <c r="N86" s="81"/>
      <c r="O86" s="126"/>
    </row>
    <row r="87" ht="17.25">
      <c r="A87" s="142"/>
      <c r="B87" s="47"/>
      <c r="C87" s="48"/>
      <c r="D87" s="48"/>
      <c r="E87" s="48"/>
      <c r="F87" s="48"/>
      <c r="G87" s="48"/>
      <c r="H87" s="49"/>
      <c r="I87" s="139" t="s">
        <v>122</v>
      </c>
      <c r="J87" s="81">
        <f t="shared" si="5"/>
        <v>0</v>
      </c>
      <c r="K87" s="82"/>
      <c r="L87" s="82">
        <v>0</v>
      </c>
      <c r="M87" s="81">
        <v>0</v>
      </c>
      <c r="N87" s="81"/>
      <c r="O87" s="126"/>
    </row>
    <row r="88" ht="17.25">
      <c r="A88" s="142"/>
      <c r="B88" s="47"/>
      <c r="C88" s="48"/>
      <c r="D88" s="48"/>
      <c r="E88" s="48"/>
      <c r="F88" s="48"/>
      <c r="G88" s="48"/>
      <c r="H88" s="49"/>
      <c r="I88" s="139" t="s">
        <v>123</v>
      </c>
      <c r="J88" s="81">
        <f t="shared" si="5"/>
        <v>618000</v>
      </c>
      <c r="K88" s="82"/>
      <c r="L88" s="82">
        <f t="shared" ref="L88:L89" si="6">L79</f>
        <v>550000</v>
      </c>
      <c r="M88" s="82">
        <f t="shared" ref="M88:M89" si="7">M79</f>
        <v>68000</v>
      </c>
      <c r="N88" s="81"/>
      <c r="O88" s="126"/>
    </row>
    <row r="89" ht="17.25">
      <c r="A89" s="145"/>
      <c r="B89" s="76"/>
      <c r="C89" s="77"/>
      <c r="D89" s="77"/>
      <c r="E89" s="77"/>
      <c r="F89" s="77"/>
      <c r="G89" s="77"/>
      <c r="H89" s="78"/>
      <c r="I89" s="139" t="s">
        <v>124</v>
      </c>
      <c r="J89" s="81">
        <f t="shared" si="5"/>
        <v>618000</v>
      </c>
      <c r="K89" s="82"/>
      <c r="L89" s="82">
        <f t="shared" si="6"/>
        <v>550000</v>
      </c>
      <c r="M89" s="82">
        <f t="shared" si="7"/>
        <v>68000</v>
      </c>
      <c r="N89" s="81"/>
      <c r="O89" s="126"/>
    </row>
    <row r="90" ht="38.25" customHeight="1">
      <c r="A90" s="146"/>
      <c r="B90" s="41" t="s">
        <v>125</v>
      </c>
      <c r="C90" s="42"/>
      <c r="D90" s="42"/>
      <c r="E90" s="42"/>
      <c r="F90" s="42"/>
      <c r="G90" s="42"/>
      <c r="H90" s="43"/>
      <c r="I90" s="126" t="s">
        <v>126</v>
      </c>
      <c r="J90" s="147">
        <f>J81+J82+J83+J84+J85+J86+J87+J88+J89</f>
        <v>5237889.5470743477</v>
      </c>
      <c r="K90" s="82">
        <f>SUM(K81:K89)</f>
        <v>191412.20000000001</v>
      </c>
      <c r="L90" s="147">
        <f>L81+L82+L83+L84+L85+L86+L87+L88+L89</f>
        <v>4310561.5043000001</v>
      </c>
      <c r="M90" s="147">
        <f>M81+M82+M83+M84+M85+M86+M87+M88+M89</f>
        <v>735915.84277434775</v>
      </c>
      <c r="N90" s="148"/>
      <c r="O90" s="126"/>
      <c r="U90" s="3"/>
    </row>
    <row r="91" s="3" customFormat="1" ht="26.449999999999999" customHeight="1">
      <c r="A91" s="149" t="s">
        <v>127</v>
      </c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1"/>
    </row>
    <row r="92" s="3" customFormat="1" ht="23.25" customHeight="1">
      <c r="A92" s="50" t="s">
        <v>128</v>
      </c>
      <c r="B92" s="26" t="s">
        <v>98</v>
      </c>
      <c r="C92" s="14">
        <v>157</v>
      </c>
      <c r="D92" s="14" t="s">
        <v>99</v>
      </c>
      <c r="E92" s="26" t="s">
        <v>100</v>
      </c>
      <c r="F92" s="14" t="s">
        <v>101</v>
      </c>
      <c r="G92" s="26" t="s">
        <v>102</v>
      </c>
      <c r="H92" s="26" t="s">
        <v>102</v>
      </c>
      <c r="I92" s="23">
        <v>2023</v>
      </c>
      <c r="J92" s="28">
        <f t="shared" ref="J92:J97" si="8">SUM(K92:N92)</f>
        <v>279031.85128</v>
      </c>
      <c r="K92" s="29"/>
      <c r="L92" s="28">
        <f>220547.45999999999+58484.391280000003</f>
        <v>279031.85128</v>
      </c>
      <c r="M92" s="29"/>
      <c r="N92" s="23"/>
      <c r="O92" s="130">
        <f>299675.5+279031.84999999998</f>
        <v>578707.34999999998</v>
      </c>
    </row>
    <row r="93" s="3" customFormat="1" ht="24.75" customHeight="1">
      <c r="A93" s="115"/>
      <c r="B93" s="33"/>
      <c r="C93" s="34"/>
      <c r="D93" s="34"/>
      <c r="E93" s="33"/>
      <c r="F93" s="34"/>
      <c r="G93" s="33"/>
      <c r="H93" s="33"/>
      <c r="I93" s="14">
        <v>2024</v>
      </c>
      <c r="J93" s="51">
        <f t="shared" si="8"/>
        <v>279031.84999999998</v>
      </c>
      <c r="K93" s="53"/>
      <c r="L93" s="51">
        <v>279031.84999999998</v>
      </c>
      <c r="M93" s="53"/>
      <c r="N93" s="14"/>
      <c r="O93" s="131"/>
    </row>
    <row r="94" s="3" customFormat="1" ht="23.25" customHeight="1">
      <c r="A94" s="115"/>
      <c r="B94" s="33"/>
      <c r="C94" s="34"/>
      <c r="D94" s="34"/>
      <c r="E94" s="33"/>
      <c r="F94" s="34"/>
      <c r="G94" s="33"/>
      <c r="H94" s="33"/>
      <c r="I94" s="34"/>
      <c r="J94" s="52"/>
      <c r="K94" s="118"/>
      <c r="L94" s="52"/>
      <c r="M94" s="118"/>
      <c r="N94" s="34"/>
      <c r="O94" s="131"/>
    </row>
    <row r="95" s="3" customFormat="1" ht="177" customHeight="1">
      <c r="A95" s="35"/>
      <c r="B95" s="40"/>
      <c r="C95" s="20"/>
      <c r="D95" s="20"/>
      <c r="E95" s="40"/>
      <c r="F95" s="20"/>
      <c r="G95" s="40"/>
      <c r="H95" s="40"/>
      <c r="I95" s="20"/>
      <c r="J95" s="36"/>
      <c r="K95" s="37"/>
      <c r="L95" s="36"/>
      <c r="M95" s="37"/>
      <c r="N95" s="20"/>
      <c r="O95" s="132"/>
    </row>
    <row r="96" s="119" customFormat="1" ht="24.75" customHeight="1">
      <c r="A96" s="50" t="s">
        <v>129</v>
      </c>
      <c r="B96" s="26" t="s">
        <v>104</v>
      </c>
      <c r="C96" s="121">
        <v>95</v>
      </c>
      <c r="D96" s="130" t="s">
        <v>105</v>
      </c>
      <c r="E96" s="26" t="s">
        <v>130</v>
      </c>
      <c r="F96" s="14" t="s">
        <v>107</v>
      </c>
      <c r="G96" s="152" t="s">
        <v>108</v>
      </c>
      <c r="H96" s="152" t="s">
        <v>109</v>
      </c>
      <c r="I96" s="20">
        <v>2022</v>
      </c>
      <c r="J96" s="36">
        <f t="shared" si="8"/>
        <v>266267.40000000002</v>
      </c>
      <c r="K96" s="123"/>
      <c r="L96" s="36">
        <v>244966</v>
      </c>
      <c r="M96" s="36">
        <v>21301.400000000001</v>
      </c>
      <c r="N96" s="124"/>
      <c r="O96" s="130">
        <f>221282+208578.63+291877.10999999999</f>
        <v>721737.73999999999</v>
      </c>
    </row>
    <row r="97" s="119" customFormat="1" ht="21.75" customHeight="1">
      <c r="A97" s="115"/>
      <c r="B97" s="33"/>
      <c r="C97" s="153"/>
      <c r="D97" s="131"/>
      <c r="E97" s="33"/>
      <c r="F97" s="34"/>
      <c r="G97" s="154"/>
      <c r="H97" s="154"/>
      <c r="I97" s="20">
        <v>2023</v>
      </c>
      <c r="J97" s="36">
        <f t="shared" si="8"/>
        <v>208578.60573000001</v>
      </c>
      <c r="K97" s="123"/>
      <c r="L97" s="36">
        <f>152127.39999999999+39764.915730000001</f>
        <v>191892.31573</v>
      </c>
      <c r="M97" s="36">
        <f>13228.5+3457.79</f>
        <v>16686.290000000001</v>
      </c>
      <c r="N97" s="124"/>
      <c r="O97" s="131"/>
    </row>
    <row r="98" s="3" customFormat="1" ht="191.25" customHeight="1">
      <c r="A98" s="115"/>
      <c r="B98" s="40"/>
      <c r="C98" s="155"/>
      <c r="D98" s="132"/>
      <c r="E98" s="40"/>
      <c r="F98" s="20"/>
      <c r="G98" s="156"/>
      <c r="H98" s="156"/>
      <c r="I98" s="23">
        <v>2024</v>
      </c>
      <c r="J98" s="28">
        <f>L98*100/93</f>
        <v>338205.43010752695</v>
      </c>
      <c r="K98" s="28"/>
      <c r="L98" s="28">
        <f>84063.100000000006+146404.85000000001+84063.100000000006</f>
        <v>314531.05000000005</v>
      </c>
      <c r="M98" s="28">
        <v>23674.380000000001</v>
      </c>
      <c r="N98" s="157"/>
      <c r="O98" s="131"/>
      <c r="U98" s="158"/>
      <c r="W98" s="159"/>
      <c r="X98" s="19"/>
    </row>
    <row r="99" s="3" customFormat="1" ht="29.25" customHeight="1">
      <c r="A99" s="39" t="s">
        <v>131</v>
      </c>
      <c r="B99" s="41" t="s">
        <v>41</v>
      </c>
      <c r="C99" s="42"/>
      <c r="D99" s="42"/>
      <c r="E99" s="42"/>
      <c r="F99" s="42"/>
      <c r="G99" s="42"/>
      <c r="H99" s="43"/>
      <c r="I99" s="23"/>
      <c r="J99" s="36"/>
      <c r="K99" s="36"/>
      <c r="L99" s="36"/>
      <c r="M99" s="125"/>
      <c r="N99" s="126"/>
      <c r="O99" s="131"/>
    </row>
    <row r="100" s="160" customFormat="1" ht="25.5" customHeight="1">
      <c r="A100" s="127" t="s">
        <v>132</v>
      </c>
      <c r="B100" s="44" t="s">
        <v>43</v>
      </c>
      <c r="C100" s="45"/>
      <c r="D100" s="45"/>
      <c r="E100" s="45"/>
      <c r="F100" s="45"/>
      <c r="G100" s="45"/>
      <c r="H100" s="46"/>
      <c r="I100" s="23">
        <v>2022</v>
      </c>
      <c r="J100" s="36">
        <f t="shared" ref="J100:J105" si="9">SUM(K100:N100)</f>
        <v>266267.40000000002</v>
      </c>
      <c r="K100" s="36"/>
      <c r="L100" s="36">
        <v>244966</v>
      </c>
      <c r="M100" s="36">
        <v>21301.400000000001</v>
      </c>
      <c r="N100" s="161"/>
      <c r="O100" s="131"/>
    </row>
    <row r="101" s="160" customFormat="1" ht="20.25" customHeight="1">
      <c r="A101" s="162"/>
      <c r="B101" s="47"/>
      <c r="C101" s="48"/>
      <c r="D101" s="48"/>
      <c r="E101" s="48"/>
      <c r="F101" s="48"/>
      <c r="G101" s="48"/>
      <c r="H101" s="49"/>
      <c r="I101" s="23">
        <v>2023</v>
      </c>
      <c r="J101" s="36">
        <f t="shared" si="9"/>
        <v>208578.60573000001</v>
      </c>
      <c r="K101" s="36"/>
      <c r="L101" s="36">
        <f>152127.39999999999+39764.915730000001</f>
        <v>191892.31573</v>
      </c>
      <c r="M101" s="36">
        <f>13228.5+3457.79</f>
        <v>16686.290000000001</v>
      </c>
      <c r="N101" s="161"/>
      <c r="O101" s="131"/>
    </row>
    <row r="102" s="3" customFormat="1" ht="17.25">
      <c r="A102" s="162"/>
      <c r="B102" s="76"/>
      <c r="C102" s="77"/>
      <c r="D102" s="77"/>
      <c r="E102" s="77"/>
      <c r="F102" s="77"/>
      <c r="G102" s="77"/>
      <c r="H102" s="78"/>
      <c r="I102" s="23">
        <v>2024</v>
      </c>
      <c r="J102" s="28">
        <v>338205.43010752695</v>
      </c>
      <c r="K102" s="28"/>
      <c r="L102" s="28">
        <v>314531.05000000005</v>
      </c>
      <c r="M102" s="28">
        <v>23674.3801075269</v>
      </c>
      <c r="N102" s="126"/>
      <c r="O102" s="132"/>
    </row>
    <row r="103" s="137" customFormat="1" ht="28.5" customHeight="1">
      <c r="A103" s="163"/>
      <c r="B103" s="44" t="s">
        <v>133</v>
      </c>
      <c r="C103" s="45"/>
      <c r="D103" s="45"/>
      <c r="E103" s="45"/>
      <c r="F103" s="45"/>
      <c r="G103" s="45"/>
      <c r="H103" s="46"/>
      <c r="I103" s="155">
        <v>2022</v>
      </c>
      <c r="J103" s="114">
        <f t="shared" si="9"/>
        <v>266267.40000000002</v>
      </c>
      <c r="K103" s="114"/>
      <c r="L103" s="114">
        <f>SUM(L96)</f>
        <v>244966</v>
      </c>
      <c r="M103" s="114">
        <f>SUM(M96)</f>
        <v>21301.400000000001</v>
      </c>
      <c r="N103" s="164"/>
      <c r="O103" s="40"/>
      <c r="U103" s="165"/>
    </row>
    <row r="104" s="3" customFormat="1" ht="26.449999999999999" customHeight="1">
      <c r="A104" s="166"/>
      <c r="B104" s="47"/>
      <c r="C104" s="48"/>
      <c r="D104" s="48"/>
      <c r="E104" s="48"/>
      <c r="F104" s="48"/>
      <c r="G104" s="48"/>
      <c r="H104" s="49"/>
      <c r="I104" s="167">
        <v>2023</v>
      </c>
      <c r="J104" s="114">
        <f t="shared" si="9"/>
        <v>487610.45700999995</v>
      </c>
      <c r="K104" s="168"/>
      <c r="L104" s="168">
        <f t="shared" ref="L104:L105" si="10">SUM(L92,L97)</f>
        <v>470924.16700999998</v>
      </c>
      <c r="M104" s="168">
        <f t="shared" ref="M104:M105" si="11">SUM(M92,M97)</f>
        <v>16686.290000000001</v>
      </c>
      <c r="N104" s="126"/>
      <c r="O104" s="40"/>
      <c r="U104" s="165"/>
    </row>
    <row r="105" s="3" customFormat="1" ht="26.449999999999999" customHeight="1">
      <c r="A105" s="166"/>
      <c r="B105" s="47"/>
      <c r="C105" s="48"/>
      <c r="D105" s="48"/>
      <c r="E105" s="48"/>
      <c r="F105" s="48"/>
      <c r="G105" s="48"/>
      <c r="H105" s="49"/>
      <c r="I105" s="167">
        <v>2024</v>
      </c>
      <c r="J105" s="114">
        <f t="shared" si="9"/>
        <v>617237.28000000003</v>
      </c>
      <c r="K105" s="168"/>
      <c r="L105" s="168">
        <f t="shared" si="10"/>
        <v>593562.90000000002</v>
      </c>
      <c r="M105" s="168">
        <f t="shared" si="11"/>
        <v>23674.380000000001</v>
      </c>
      <c r="N105" s="126"/>
      <c r="O105" s="40"/>
      <c r="U105" s="94"/>
    </row>
    <row r="106" s="3" customFormat="1" ht="32.25" customHeight="1">
      <c r="A106" s="126"/>
      <c r="B106" s="41" t="s">
        <v>134</v>
      </c>
      <c r="C106" s="42"/>
      <c r="D106" s="42"/>
      <c r="E106" s="42"/>
      <c r="F106" s="42"/>
      <c r="G106" s="42"/>
      <c r="H106" s="43"/>
      <c r="I106" s="169" t="s">
        <v>135</v>
      </c>
      <c r="J106" s="168">
        <f>SUM(J103:J105)</f>
        <v>1371115.1370099999</v>
      </c>
      <c r="K106" s="168">
        <f>SUM(K103:K105)</f>
        <v>0</v>
      </c>
      <c r="L106" s="168">
        <f>SUM(L103:L105)</f>
        <v>1309453.0670099999</v>
      </c>
      <c r="M106" s="168">
        <f>SUM(M103:M105)</f>
        <v>61662.070000000007</v>
      </c>
      <c r="N106" s="169"/>
      <c r="O106" s="126"/>
    </row>
    <row r="107" ht="27" customHeight="1">
      <c r="A107" s="16" t="s">
        <v>136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8"/>
    </row>
    <row r="108" ht="23.25" customHeight="1">
      <c r="A108" s="170" t="s">
        <v>137</v>
      </c>
      <c r="B108" s="90" t="s">
        <v>138</v>
      </c>
      <c r="C108" s="23">
        <v>90</v>
      </c>
      <c r="D108" s="23" t="s">
        <v>139</v>
      </c>
      <c r="E108" s="90" t="s">
        <v>140</v>
      </c>
      <c r="F108" s="171" t="s">
        <v>141</v>
      </c>
      <c r="G108" s="171" t="s">
        <v>142</v>
      </c>
      <c r="H108" s="171" t="s">
        <v>143</v>
      </c>
      <c r="I108" s="172">
        <v>2022</v>
      </c>
      <c r="J108" s="173">
        <f>K108+L108+M108+N108</f>
        <v>102435.01191</v>
      </c>
      <c r="K108" s="173"/>
      <c r="L108" s="173">
        <f>42828.5+11278.345939999999+39109.014900000002</f>
        <v>93215.860840000008</v>
      </c>
      <c r="M108" s="173">
        <f>5351.2265200000002+3867.9245500000002</f>
        <v>9219.1510699999999</v>
      </c>
      <c r="N108" s="174"/>
      <c r="O108" s="175">
        <f>37061.378089999998+4952.1300000000001+61198.639999999999</f>
        <v>103212.14809</v>
      </c>
      <c r="P108" s="3"/>
      <c r="Q108" s="3"/>
      <c r="R108" s="3"/>
      <c r="S108" s="3"/>
      <c r="T108" s="3"/>
      <c r="U108" s="176"/>
      <c r="V108" s="177"/>
    </row>
    <row r="109" ht="20.25" customHeight="1">
      <c r="A109" s="170"/>
      <c r="B109" s="90"/>
      <c r="C109" s="23"/>
      <c r="D109" s="23"/>
      <c r="E109" s="90"/>
      <c r="F109" s="171"/>
      <c r="G109" s="171"/>
      <c r="H109" s="171"/>
      <c r="I109" s="172">
        <v>2023</v>
      </c>
      <c r="J109" s="173">
        <f t="shared" ref="J109:J111" si="12">SUM(K109:M109)</f>
        <v>79129.069999999992</v>
      </c>
      <c r="K109" s="173"/>
      <c r="L109" s="173">
        <f>88716.949999999997-16709.5</f>
        <v>72007.449999999997</v>
      </c>
      <c r="M109" s="173">
        <f>8774.2000000000007-1652.5799999999999</f>
        <v>7121.6200000000008</v>
      </c>
      <c r="N109" s="174"/>
      <c r="O109" s="178"/>
      <c r="P109" s="3"/>
      <c r="Q109" s="3"/>
      <c r="R109" s="3"/>
      <c r="S109" s="3"/>
      <c r="T109" s="3"/>
      <c r="U109" s="176"/>
      <c r="V109" s="177"/>
    </row>
    <row r="110" ht="24.75" customHeight="1">
      <c r="A110" s="170"/>
      <c r="B110" s="90"/>
      <c r="C110" s="23"/>
      <c r="D110" s="23"/>
      <c r="E110" s="90"/>
      <c r="F110" s="171"/>
      <c r="G110" s="171"/>
      <c r="H110" s="171"/>
      <c r="I110" s="172">
        <v>2024</v>
      </c>
      <c r="J110" s="173">
        <f t="shared" si="12"/>
        <v>23981.708010000002</v>
      </c>
      <c r="K110" s="173"/>
      <c r="L110" s="173">
        <v>21583.53801</v>
      </c>
      <c r="M110" s="173">
        <v>2398.1700000000001</v>
      </c>
      <c r="N110" s="174"/>
      <c r="O110" s="178"/>
      <c r="P110" s="3"/>
      <c r="Q110" s="3"/>
      <c r="R110" s="3"/>
      <c r="S110" s="3"/>
      <c r="T110" s="3"/>
      <c r="U110" s="176"/>
      <c r="V110" s="177"/>
    </row>
    <row r="111" ht="143.25" customHeight="1">
      <c r="A111" s="170"/>
      <c r="B111" s="90"/>
      <c r="C111" s="23"/>
      <c r="D111" s="23"/>
      <c r="E111" s="90"/>
      <c r="F111" s="171"/>
      <c r="G111" s="171"/>
      <c r="H111" s="171"/>
      <c r="I111" s="172">
        <v>2025</v>
      </c>
      <c r="J111" s="173">
        <f t="shared" si="12"/>
        <v>60462</v>
      </c>
      <c r="K111" s="173"/>
      <c r="L111" s="173">
        <f>19839.41373+35181.006269999998</f>
        <v>55020.419999999998</v>
      </c>
      <c r="M111" s="173">
        <v>5441.5799999999999</v>
      </c>
      <c r="N111" s="174"/>
      <c r="O111" s="178"/>
      <c r="P111" s="3"/>
      <c r="Q111" s="3"/>
      <c r="R111" s="3"/>
      <c r="S111" s="3"/>
      <c r="T111" s="3"/>
      <c r="U111" s="176">
        <v>0.91000000000000003</v>
      </c>
      <c r="V111" s="177"/>
    </row>
    <row r="112" ht="30.75" customHeight="1">
      <c r="A112" s="39" t="s">
        <v>144</v>
      </c>
      <c r="B112" s="41" t="s">
        <v>41</v>
      </c>
      <c r="C112" s="42"/>
      <c r="D112" s="42"/>
      <c r="E112" s="42"/>
      <c r="F112" s="42"/>
      <c r="G112" s="42"/>
      <c r="H112" s="43"/>
      <c r="I112" s="172"/>
      <c r="J112" s="174"/>
      <c r="K112" s="174"/>
      <c r="L112" s="174"/>
      <c r="M112" s="174"/>
      <c r="N112" s="174"/>
      <c r="O112" s="178"/>
      <c r="P112" s="3"/>
      <c r="Q112" s="3"/>
      <c r="R112" s="3"/>
      <c r="S112" s="3"/>
      <c r="T112" s="3"/>
    </row>
    <row r="113" ht="27.75" customHeight="1">
      <c r="A113" s="25" t="s">
        <v>145</v>
      </c>
      <c r="B113" s="44" t="s">
        <v>43</v>
      </c>
      <c r="C113" s="45"/>
      <c r="D113" s="45"/>
      <c r="E113" s="45"/>
      <c r="F113" s="45"/>
      <c r="G113" s="45"/>
      <c r="H113" s="46"/>
      <c r="I113" s="172">
        <v>2022</v>
      </c>
      <c r="J113" s="173">
        <f>K113+L113+M113+N113</f>
        <v>102435.01191</v>
      </c>
      <c r="K113" s="173"/>
      <c r="L113" s="173">
        <f>42828.5+11278.345939999999+39109.014900000002</f>
        <v>93215.860840000008</v>
      </c>
      <c r="M113" s="173">
        <f>5351.2265200000002+3867.9245500000002</f>
        <v>9219.1510699999999</v>
      </c>
      <c r="N113" s="174"/>
      <c r="O113" s="178"/>
      <c r="P113" s="3"/>
      <c r="Q113" s="3"/>
      <c r="R113" s="3"/>
      <c r="S113" s="3"/>
      <c r="T113" s="3"/>
    </row>
    <row r="114" ht="24.75" customHeight="1">
      <c r="A114" s="32"/>
      <c r="B114" s="47"/>
      <c r="C114" s="48"/>
      <c r="D114" s="48"/>
      <c r="E114" s="48"/>
      <c r="F114" s="48"/>
      <c r="G114" s="48"/>
      <c r="H114" s="49"/>
      <c r="I114" s="172">
        <v>2023</v>
      </c>
      <c r="J114" s="173">
        <f t="shared" ref="J114:J116" si="13">SUM(L114:M114)</f>
        <v>79129.069999999992</v>
      </c>
      <c r="K114" s="173"/>
      <c r="L114" s="173">
        <v>72007.449999999997</v>
      </c>
      <c r="M114" s="173">
        <v>7121.6199999999999</v>
      </c>
      <c r="N114" s="174"/>
      <c r="O114" s="178"/>
      <c r="P114" s="3"/>
      <c r="Q114" s="3"/>
      <c r="R114" s="3"/>
      <c r="S114" s="3"/>
      <c r="T114" s="3"/>
    </row>
    <row r="115" ht="24.75" customHeight="1">
      <c r="A115" s="32"/>
      <c r="B115" s="47"/>
      <c r="C115" s="48"/>
      <c r="D115" s="48"/>
      <c r="E115" s="48"/>
      <c r="F115" s="48"/>
      <c r="G115" s="48"/>
      <c r="H115" s="49"/>
      <c r="I115" s="172">
        <v>2024</v>
      </c>
      <c r="J115" s="173">
        <f t="shared" si="13"/>
        <v>23981.709999999999</v>
      </c>
      <c r="K115" s="173"/>
      <c r="L115" s="173">
        <v>21583.540000000001</v>
      </c>
      <c r="M115" s="173">
        <v>2398.1700000000001</v>
      </c>
      <c r="N115" s="174"/>
      <c r="O115" s="178"/>
      <c r="P115" s="3"/>
      <c r="Q115" s="3"/>
      <c r="R115" s="3"/>
      <c r="S115" s="3"/>
      <c r="T115" s="3"/>
    </row>
    <row r="116" ht="24.75" customHeight="1">
      <c r="A116" s="39"/>
      <c r="B116" s="76"/>
      <c r="C116" s="77"/>
      <c r="D116" s="77"/>
      <c r="E116" s="77"/>
      <c r="F116" s="77"/>
      <c r="G116" s="77"/>
      <c r="H116" s="78"/>
      <c r="I116" s="172">
        <v>2025</v>
      </c>
      <c r="J116" s="173">
        <f t="shared" si="13"/>
        <v>60462</v>
      </c>
      <c r="K116" s="173"/>
      <c r="L116" s="173">
        <v>55020.419999999998</v>
      </c>
      <c r="M116" s="173">
        <v>5441.5799999999999</v>
      </c>
      <c r="N116" s="174"/>
      <c r="O116" s="179"/>
      <c r="P116" s="3"/>
      <c r="Q116" s="3"/>
      <c r="R116" s="3"/>
      <c r="S116" s="3"/>
      <c r="T116" s="3"/>
    </row>
    <row r="117" ht="20.25" customHeight="1">
      <c r="A117" s="170" t="s">
        <v>146</v>
      </c>
      <c r="B117" s="180" t="s">
        <v>147</v>
      </c>
      <c r="C117" s="23">
        <v>80</v>
      </c>
      <c r="D117" s="23" t="s">
        <v>148</v>
      </c>
      <c r="E117" s="90" t="s">
        <v>149</v>
      </c>
      <c r="F117" s="171" t="s">
        <v>150</v>
      </c>
      <c r="G117" s="171" t="s">
        <v>151</v>
      </c>
      <c r="H117" s="152" t="s">
        <v>152</v>
      </c>
      <c r="I117" s="172">
        <v>2022</v>
      </c>
      <c r="J117" s="181">
        <f t="shared" ref="J117:J132" si="14">K117+L117+M117+N117</f>
        <v>70000</v>
      </c>
      <c r="K117" s="181"/>
      <c r="L117" s="181">
        <v>63700</v>
      </c>
      <c r="M117" s="173">
        <v>6300</v>
      </c>
      <c r="N117" s="174"/>
      <c r="O117" s="30">
        <f>70000+15013.98+32203.1+24590.235</f>
        <v>141807.315</v>
      </c>
      <c r="P117" s="3"/>
      <c r="Q117" s="3"/>
      <c r="R117" s="3"/>
      <c r="S117" s="3"/>
      <c r="T117" s="3"/>
    </row>
    <row r="118" ht="20.25" customHeight="1">
      <c r="A118" s="170"/>
      <c r="B118" s="180"/>
      <c r="C118" s="23"/>
      <c r="D118" s="23"/>
      <c r="E118" s="90"/>
      <c r="F118" s="171"/>
      <c r="G118" s="171"/>
      <c r="H118" s="154"/>
      <c r="I118" s="172">
        <v>2023</v>
      </c>
      <c r="J118" s="173">
        <f t="shared" si="14"/>
        <v>118567.90000000001</v>
      </c>
      <c r="K118" s="173"/>
      <c r="L118" s="173">
        <v>106711.10000000001</v>
      </c>
      <c r="M118" s="173">
        <v>11856.799999999999</v>
      </c>
      <c r="N118" s="174"/>
      <c r="O118" s="182"/>
      <c r="P118" s="3"/>
      <c r="Q118" s="3"/>
      <c r="R118" s="3"/>
      <c r="S118" s="3"/>
      <c r="T118" s="3"/>
    </row>
    <row r="119" ht="22.5" customHeight="1">
      <c r="A119" s="170"/>
      <c r="B119" s="180"/>
      <c r="C119" s="23"/>
      <c r="D119" s="23"/>
      <c r="E119" s="90"/>
      <c r="F119" s="171"/>
      <c r="G119" s="171"/>
      <c r="H119" s="154"/>
      <c r="I119" s="172">
        <v>2024</v>
      </c>
      <c r="J119" s="181">
        <f t="shared" si="14"/>
        <v>180656.19084</v>
      </c>
      <c r="K119" s="181"/>
      <c r="L119" s="181">
        <v>160784.01084</v>
      </c>
      <c r="M119" s="173">
        <v>19872.18</v>
      </c>
      <c r="N119" s="174"/>
      <c r="O119" s="182"/>
      <c r="P119" s="3"/>
      <c r="Q119" s="3"/>
      <c r="R119" s="3"/>
      <c r="S119" s="3"/>
      <c r="T119" s="3"/>
    </row>
    <row r="120" ht="88.5" customHeight="1">
      <c r="A120" s="170"/>
      <c r="B120" s="180"/>
      <c r="C120" s="23"/>
      <c r="D120" s="23"/>
      <c r="E120" s="90"/>
      <c r="F120" s="171"/>
      <c r="G120" s="171"/>
      <c r="H120" s="156"/>
      <c r="I120" s="172">
        <v>2025</v>
      </c>
      <c r="J120" s="181">
        <f t="shared" si="14"/>
        <v>146803.60732000001</v>
      </c>
      <c r="K120" s="181"/>
      <c r="L120" s="181">
        <f>67204.04952+64919.197070000002</f>
        <v>132123.24659</v>
      </c>
      <c r="M120" s="181">
        <v>14680.36073</v>
      </c>
      <c r="N120" s="183"/>
      <c r="O120" s="182"/>
      <c r="P120" s="3"/>
      <c r="Q120" s="3"/>
      <c r="R120" s="3"/>
      <c r="S120" s="3"/>
      <c r="T120" s="3"/>
      <c r="U120" s="3"/>
    </row>
    <row r="121" ht="24.75" customHeight="1">
      <c r="A121" s="32" t="s">
        <v>153</v>
      </c>
      <c r="B121" s="41" t="s">
        <v>41</v>
      </c>
      <c r="C121" s="42"/>
      <c r="D121" s="42"/>
      <c r="E121" s="42"/>
      <c r="F121" s="42"/>
      <c r="G121" s="42"/>
      <c r="H121" s="43"/>
      <c r="I121" s="184"/>
      <c r="J121" s="185"/>
      <c r="K121" s="185"/>
      <c r="L121" s="185"/>
      <c r="M121" s="185"/>
      <c r="N121" s="186"/>
      <c r="O121" s="182"/>
      <c r="P121" s="3"/>
      <c r="Q121" s="3"/>
      <c r="R121" s="3"/>
      <c r="S121" s="3"/>
      <c r="T121" s="3"/>
      <c r="U121" s="3"/>
    </row>
    <row r="122" ht="23.25" customHeight="1">
      <c r="A122" s="170" t="s">
        <v>154</v>
      </c>
      <c r="B122" s="44" t="s">
        <v>43</v>
      </c>
      <c r="C122" s="45"/>
      <c r="D122" s="45"/>
      <c r="E122" s="45"/>
      <c r="F122" s="45"/>
      <c r="G122" s="45"/>
      <c r="H122" s="46"/>
      <c r="I122" s="172">
        <v>2022</v>
      </c>
      <c r="J122" s="181">
        <f t="shared" si="14"/>
        <v>70000</v>
      </c>
      <c r="K122" s="181"/>
      <c r="L122" s="181">
        <v>63700</v>
      </c>
      <c r="M122" s="173">
        <v>6300</v>
      </c>
      <c r="N122" s="174"/>
      <c r="O122" s="182"/>
      <c r="P122" s="3"/>
      <c r="Q122" s="3"/>
      <c r="R122" s="3"/>
      <c r="S122" s="3"/>
      <c r="T122" s="3"/>
      <c r="U122" s="3"/>
    </row>
    <row r="123" ht="18" customHeight="1">
      <c r="A123" s="170"/>
      <c r="B123" s="47"/>
      <c r="C123" s="48"/>
      <c r="D123" s="48"/>
      <c r="E123" s="48"/>
      <c r="F123" s="48"/>
      <c r="G123" s="48"/>
      <c r="H123" s="49"/>
      <c r="I123" s="172">
        <v>2023</v>
      </c>
      <c r="J123" s="173">
        <f t="shared" si="14"/>
        <v>118567.90000000001</v>
      </c>
      <c r="K123" s="173"/>
      <c r="L123" s="173">
        <v>106711.10000000001</v>
      </c>
      <c r="M123" s="173">
        <v>11856.799999999999</v>
      </c>
      <c r="N123" s="174"/>
      <c r="O123" s="182"/>
      <c r="P123" s="3"/>
      <c r="Q123" s="3"/>
      <c r="R123" s="3"/>
      <c r="S123" s="3"/>
      <c r="T123" s="3"/>
      <c r="U123" s="3"/>
    </row>
    <row r="124" ht="18" customHeight="1">
      <c r="A124" s="170"/>
      <c r="B124" s="47"/>
      <c r="C124" s="48"/>
      <c r="D124" s="48"/>
      <c r="E124" s="48"/>
      <c r="F124" s="48"/>
      <c r="G124" s="48"/>
      <c r="H124" s="49"/>
      <c r="I124" s="172">
        <v>2024</v>
      </c>
      <c r="J124" s="181">
        <f t="shared" si="14"/>
        <v>180656.19</v>
      </c>
      <c r="K124" s="181"/>
      <c r="L124" s="181">
        <v>160784.01000000001</v>
      </c>
      <c r="M124" s="173">
        <v>19872.18</v>
      </c>
      <c r="N124" s="174"/>
      <c r="O124" s="182"/>
      <c r="P124" s="3"/>
      <c r="Q124" s="3"/>
      <c r="R124" s="3"/>
      <c r="S124" s="3"/>
      <c r="T124" s="3"/>
      <c r="U124" s="3">
        <f>M124/J124*100</f>
        <v>10.999999501816129</v>
      </c>
    </row>
    <row r="125" ht="25.5" customHeight="1">
      <c r="A125" s="170"/>
      <c r="B125" s="76"/>
      <c r="C125" s="77"/>
      <c r="D125" s="77"/>
      <c r="E125" s="77"/>
      <c r="F125" s="77"/>
      <c r="G125" s="77"/>
      <c r="H125" s="78"/>
      <c r="I125" s="172">
        <v>2025</v>
      </c>
      <c r="J125" s="181">
        <f t="shared" si="14"/>
        <v>146803.60732000001</v>
      </c>
      <c r="K125" s="181"/>
      <c r="L125" s="181">
        <v>132123.24659</v>
      </c>
      <c r="M125" s="173">
        <v>14680.36073</v>
      </c>
      <c r="N125" s="183"/>
      <c r="O125" s="187"/>
      <c r="P125" s="3"/>
      <c r="Q125" s="3"/>
      <c r="R125" s="3"/>
      <c r="S125" s="3"/>
      <c r="T125" s="3"/>
      <c r="U125" s="3">
        <v>10</v>
      </c>
    </row>
    <row r="126" ht="28.5" customHeight="1">
      <c r="A126" s="25" t="s">
        <v>155</v>
      </c>
      <c r="B126" s="109" t="s">
        <v>156</v>
      </c>
      <c r="C126" s="14">
        <v>86</v>
      </c>
      <c r="D126" s="14" t="s">
        <v>157</v>
      </c>
      <c r="E126" s="26" t="s">
        <v>158</v>
      </c>
      <c r="F126" s="14" t="s">
        <v>159</v>
      </c>
      <c r="G126" s="152" t="s">
        <v>160</v>
      </c>
      <c r="H126" s="152" t="s">
        <v>161</v>
      </c>
      <c r="I126" s="188">
        <v>2023</v>
      </c>
      <c r="J126" s="173">
        <f t="shared" si="14"/>
        <v>22988.50575</v>
      </c>
      <c r="K126" s="174"/>
      <c r="L126" s="174">
        <f>49041.5-29041.5</f>
        <v>20000</v>
      </c>
      <c r="M126" s="173">
        <f>7328.04-4339.5342499999997</f>
        <v>2988.5057500000003</v>
      </c>
      <c r="N126" s="174"/>
      <c r="O126" s="189">
        <f>22988.51+21290.59+41709.67</f>
        <v>85988.76999999999</v>
      </c>
      <c r="P126" s="3"/>
      <c r="Q126" s="3"/>
      <c r="R126" s="3"/>
      <c r="S126" s="3"/>
      <c r="T126" s="3"/>
      <c r="U126" s="190"/>
    </row>
    <row r="127" ht="36.75" customHeight="1">
      <c r="A127" s="32"/>
      <c r="B127" s="191"/>
      <c r="C127" s="34"/>
      <c r="D127" s="34"/>
      <c r="E127" s="33"/>
      <c r="F127" s="34"/>
      <c r="G127" s="154"/>
      <c r="H127" s="154"/>
      <c r="I127" s="188">
        <v>2024</v>
      </c>
      <c r="J127" s="173">
        <f t="shared" si="14"/>
        <v>53639.879999999997</v>
      </c>
      <c r="K127" s="174"/>
      <c r="L127" s="173">
        <v>47203.089999999997</v>
      </c>
      <c r="M127" s="173">
        <v>6436.79</v>
      </c>
      <c r="N127" s="174"/>
      <c r="O127" s="182"/>
      <c r="P127" s="3"/>
      <c r="Q127" s="3"/>
      <c r="R127" s="3"/>
      <c r="S127" s="3"/>
      <c r="T127" s="3"/>
      <c r="U127" s="190"/>
    </row>
    <row r="128" ht="227.25" customHeight="1">
      <c r="A128" s="39"/>
      <c r="B128" s="112"/>
      <c r="C128" s="20"/>
      <c r="D128" s="20"/>
      <c r="E128" s="40"/>
      <c r="F128" s="20"/>
      <c r="G128" s="156"/>
      <c r="H128" s="156"/>
      <c r="I128" s="188">
        <v>2025</v>
      </c>
      <c r="J128" s="173">
        <f t="shared" si="14"/>
        <v>41709.671770000001</v>
      </c>
      <c r="K128" s="174"/>
      <c r="L128" s="173">
        <f>28467.34415+8237.16701</f>
        <v>36704.511160000002</v>
      </c>
      <c r="M128" s="173">
        <f>3881.91057+1123.25004</f>
        <v>5005.1606099999999</v>
      </c>
      <c r="N128" s="174"/>
      <c r="O128" s="182"/>
      <c r="P128" s="3"/>
      <c r="Q128" s="3"/>
      <c r="R128" s="3"/>
      <c r="S128" s="3"/>
      <c r="T128" s="3"/>
      <c r="U128" s="190"/>
    </row>
    <row r="129" ht="28.5" customHeight="1">
      <c r="A129" s="170" t="s">
        <v>162</v>
      </c>
      <c r="B129" s="41" t="s">
        <v>41</v>
      </c>
      <c r="C129" s="42"/>
      <c r="D129" s="42"/>
      <c r="E129" s="42"/>
      <c r="F129" s="42"/>
      <c r="G129" s="42"/>
      <c r="H129" s="43"/>
      <c r="I129" s="188"/>
      <c r="J129" s="174"/>
      <c r="K129" s="174"/>
      <c r="L129" s="174"/>
      <c r="M129" s="174"/>
      <c r="N129" s="174"/>
      <c r="O129" s="182"/>
      <c r="P129" s="3"/>
      <c r="Q129" s="3"/>
      <c r="R129" s="3"/>
      <c r="S129" s="3"/>
      <c r="T129" s="3"/>
    </row>
    <row r="130" ht="24.75" customHeight="1">
      <c r="A130" s="25" t="s">
        <v>163</v>
      </c>
      <c r="B130" s="44" t="s">
        <v>43</v>
      </c>
      <c r="C130" s="45"/>
      <c r="D130" s="45"/>
      <c r="E130" s="45"/>
      <c r="F130" s="45"/>
      <c r="G130" s="45"/>
      <c r="H130" s="46"/>
      <c r="I130" s="188">
        <v>2023</v>
      </c>
      <c r="J130" s="173">
        <f t="shared" si="14"/>
        <v>22988.510000000002</v>
      </c>
      <c r="K130" s="174"/>
      <c r="L130" s="174">
        <v>20000</v>
      </c>
      <c r="M130" s="173">
        <v>2988.5100000000002</v>
      </c>
      <c r="N130" s="174"/>
      <c r="O130" s="182"/>
      <c r="P130" s="3"/>
      <c r="Q130" s="3"/>
      <c r="R130" s="3"/>
      <c r="S130" s="3"/>
      <c r="T130" s="3"/>
    </row>
    <row r="131" ht="24.75" customHeight="1">
      <c r="A131" s="32"/>
      <c r="B131" s="47"/>
      <c r="C131" s="48"/>
      <c r="D131" s="48"/>
      <c r="E131" s="48"/>
      <c r="F131" s="48"/>
      <c r="G131" s="48"/>
      <c r="H131" s="49"/>
      <c r="I131" s="188">
        <v>2024</v>
      </c>
      <c r="J131" s="173">
        <f t="shared" si="14"/>
        <v>53639.879999999997</v>
      </c>
      <c r="K131" s="174"/>
      <c r="L131" s="173">
        <v>47203.089999999997</v>
      </c>
      <c r="M131" s="173">
        <v>6436.79</v>
      </c>
      <c r="N131" s="174"/>
      <c r="O131" s="182"/>
      <c r="P131" s="3"/>
      <c r="Q131" s="3"/>
      <c r="R131" s="3"/>
      <c r="S131" s="3"/>
      <c r="T131" s="3"/>
    </row>
    <row r="132" ht="27" customHeight="1">
      <c r="A132" s="39"/>
      <c r="B132" s="76"/>
      <c r="C132" s="77"/>
      <c r="D132" s="77"/>
      <c r="E132" s="77"/>
      <c r="F132" s="77"/>
      <c r="G132" s="77"/>
      <c r="H132" s="78"/>
      <c r="I132" s="188">
        <v>2025</v>
      </c>
      <c r="J132" s="173">
        <f t="shared" si="14"/>
        <v>41709.669999999998</v>
      </c>
      <c r="K132" s="174"/>
      <c r="L132" s="173">
        <v>36704.510000000002</v>
      </c>
      <c r="M132" s="173">
        <v>5005.1599999999999</v>
      </c>
      <c r="N132" s="174"/>
      <c r="O132" s="187"/>
      <c r="P132" s="3"/>
      <c r="Q132" s="3"/>
      <c r="R132" s="3"/>
      <c r="S132" s="3"/>
      <c r="T132" s="3"/>
      <c r="U132" s="3">
        <v>88</v>
      </c>
    </row>
    <row r="133" ht="26.25" customHeight="1">
      <c r="A133" s="25" t="s">
        <v>164</v>
      </c>
      <c r="B133" s="109" t="s">
        <v>165</v>
      </c>
      <c r="C133" s="14">
        <v>50</v>
      </c>
      <c r="D133" s="14" t="s">
        <v>166</v>
      </c>
      <c r="E133" s="26" t="s">
        <v>167</v>
      </c>
      <c r="F133" s="26" t="s">
        <v>168</v>
      </c>
      <c r="G133" s="152" t="s">
        <v>169</v>
      </c>
      <c r="H133" s="152" t="s">
        <v>170</v>
      </c>
      <c r="I133" s="188">
        <v>2024</v>
      </c>
      <c r="J133" s="174">
        <f t="shared" ref="J133:J144" si="15">SUM(K133:N133)</f>
        <v>39426</v>
      </c>
      <c r="K133" s="174"/>
      <c r="L133" s="174">
        <v>33117.800000000003</v>
      </c>
      <c r="M133" s="174">
        <v>6308.1999999999998</v>
      </c>
      <c r="N133" s="174"/>
      <c r="O133" s="189">
        <v>38938.300000000003</v>
      </c>
      <c r="P133" s="3"/>
      <c r="Q133" s="3"/>
      <c r="R133" s="3"/>
      <c r="S133" s="3"/>
      <c r="T133" s="3"/>
      <c r="U133" s="190"/>
    </row>
    <row r="134" ht="186" customHeight="1">
      <c r="A134" s="39"/>
      <c r="B134" s="112"/>
      <c r="C134" s="20"/>
      <c r="D134" s="20"/>
      <c r="E134" s="40"/>
      <c r="F134" s="40"/>
      <c r="G134" s="156"/>
      <c r="H134" s="156"/>
      <c r="I134" s="188">
        <v>2025</v>
      </c>
      <c r="J134" s="174">
        <f t="shared" si="15"/>
        <v>38962.117649999993</v>
      </c>
      <c r="K134" s="174"/>
      <c r="L134" s="174">
        <f>26147.801179999999+6969.9988199999998</f>
        <v>33117.799999999996</v>
      </c>
      <c r="M134" s="173">
        <v>5844.31765</v>
      </c>
      <c r="N134" s="174"/>
      <c r="O134" s="182"/>
      <c r="P134" s="3"/>
      <c r="Q134" s="3"/>
      <c r="R134" s="3"/>
      <c r="S134" s="3"/>
      <c r="T134" s="3"/>
      <c r="U134" s="190"/>
    </row>
    <row r="135" ht="24.75" customHeight="1">
      <c r="A135" s="170" t="s">
        <v>171</v>
      </c>
      <c r="B135" s="41" t="s">
        <v>41</v>
      </c>
      <c r="C135" s="42"/>
      <c r="D135" s="42"/>
      <c r="E135" s="42"/>
      <c r="F135" s="42"/>
      <c r="G135" s="42"/>
      <c r="H135" s="43"/>
      <c r="I135" s="188"/>
      <c r="J135" s="174"/>
      <c r="K135" s="174"/>
      <c r="L135" s="174"/>
      <c r="M135" s="174"/>
      <c r="N135" s="174"/>
      <c r="O135" s="182"/>
      <c r="P135" s="3"/>
      <c r="Q135" s="3"/>
      <c r="R135" s="3"/>
      <c r="S135" s="3"/>
      <c r="T135" s="3"/>
      <c r="U135" s="3"/>
    </row>
    <row r="136" ht="24.75" customHeight="1">
      <c r="A136" s="25" t="s">
        <v>172</v>
      </c>
      <c r="B136" s="44" t="s">
        <v>43</v>
      </c>
      <c r="C136" s="45"/>
      <c r="D136" s="45"/>
      <c r="E136" s="45"/>
      <c r="F136" s="45"/>
      <c r="G136" s="45"/>
      <c r="H136" s="46"/>
      <c r="I136" s="188">
        <v>2024</v>
      </c>
      <c r="J136" s="174">
        <f t="shared" si="15"/>
        <v>39426</v>
      </c>
      <c r="K136" s="174"/>
      <c r="L136" s="174">
        <v>33117.800000000003</v>
      </c>
      <c r="M136" s="174">
        <v>6308.1999999999998</v>
      </c>
      <c r="N136" s="174"/>
      <c r="O136" s="182"/>
      <c r="P136" s="3"/>
      <c r="Q136" s="3"/>
      <c r="R136" s="3"/>
      <c r="S136" s="3"/>
      <c r="T136" s="3"/>
      <c r="U136" s="3">
        <v>16</v>
      </c>
    </row>
    <row r="137" ht="26.25" customHeight="1">
      <c r="A137" s="39"/>
      <c r="B137" s="47"/>
      <c r="C137" s="48"/>
      <c r="D137" s="48"/>
      <c r="E137" s="48"/>
      <c r="F137" s="48"/>
      <c r="G137" s="48"/>
      <c r="H137" s="49"/>
      <c r="I137" s="188">
        <v>2025</v>
      </c>
      <c r="J137" s="174">
        <f t="shared" si="15"/>
        <v>38962.117649999993</v>
      </c>
      <c r="K137" s="174"/>
      <c r="L137" s="174">
        <f>26147.801179999999+6969.9988199999998</f>
        <v>33117.799999999996</v>
      </c>
      <c r="M137" s="173">
        <v>5844.31765</v>
      </c>
      <c r="N137" s="174"/>
      <c r="O137" s="187"/>
      <c r="P137" s="3"/>
      <c r="Q137" s="3"/>
      <c r="R137" s="3"/>
      <c r="S137" s="3"/>
      <c r="T137" s="3"/>
      <c r="U137" s="3">
        <v>15</v>
      </c>
    </row>
    <row r="138" ht="21.75" customHeight="1">
      <c r="A138" s="192" t="s">
        <v>173</v>
      </c>
      <c r="B138" s="193" t="s">
        <v>174</v>
      </c>
      <c r="C138" s="57">
        <v>103</v>
      </c>
      <c r="D138" s="57" t="s">
        <v>65</v>
      </c>
      <c r="E138" s="56" t="s">
        <v>175</v>
      </c>
      <c r="F138" s="57" t="s">
        <v>176</v>
      </c>
      <c r="G138" s="194" t="s">
        <v>177</v>
      </c>
      <c r="H138" s="194" t="s">
        <v>178</v>
      </c>
      <c r="I138" s="195">
        <v>2024</v>
      </c>
      <c r="J138" s="173">
        <f t="shared" si="15"/>
        <v>106260.308</v>
      </c>
      <c r="K138" s="174"/>
      <c r="L138" s="173">
        <v>95634.308000000005</v>
      </c>
      <c r="M138" s="174">
        <v>10626</v>
      </c>
      <c r="N138" s="174"/>
      <c r="O138" s="189">
        <f>106260.34+82876.82</f>
        <v>189137.16</v>
      </c>
      <c r="P138" s="3"/>
      <c r="Q138" s="3"/>
      <c r="R138" s="3"/>
      <c r="S138" s="3"/>
      <c r="T138" s="3"/>
      <c r="U138" s="190">
        <f>M138/J138</f>
        <v>0.099999710145767695</v>
      </c>
    </row>
    <row r="139" ht="28.5" customHeight="1">
      <c r="A139" s="196"/>
      <c r="B139" s="193"/>
      <c r="C139" s="57"/>
      <c r="D139" s="57"/>
      <c r="E139" s="56"/>
      <c r="F139" s="57"/>
      <c r="G139" s="194"/>
      <c r="H139" s="194"/>
      <c r="I139" s="195">
        <v>2025</v>
      </c>
      <c r="J139" s="173">
        <f t="shared" si="15"/>
        <v>115902.30769</v>
      </c>
      <c r="K139" s="174"/>
      <c r="L139" s="173">
        <f>74920.5+30550.6</f>
        <v>105471.10000000001</v>
      </c>
      <c r="M139" s="173">
        <f>7409.72+3021.48769</f>
        <v>10431.207689999999</v>
      </c>
      <c r="N139" s="174"/>
      <c r="O139" s="182"/>
      <c r="P139" s="3"/>
      <c r="Q139" s="3"/>
      <c r="R139" s="3"/>
      <c r="S139" s="3"/>
      <c r="T139" s="3"/>
      <c r="U139" s="190"/>
    </row>
    <row r="140" ht="94.5" customHeight="1">
      <c r="A140" s="197"/>
      <c r="B140" s="193"/>
      <c r="C140" s="57"/>
      <c r="D140" s="57"/>
      <c r="E140" s="56"/>
      <c r="F140" s="57"/>
      <c r="G140" s="194"/>
      <c r="H140" s="194"/>
      <c r="I140" s="198">
        <v>2026</v>
      </c>
      <c r="J140" s="199">
        <f t="shared" si="15"/>
        <v>15164.359999999999</v>
      </c>
      <c r="K140" s="200"/>
      <c r="L140" s="199">
        <v>13344.639999999999</v>
      </c>
      <c r="M140" s="199">
        <v>1819.72</v>
      </c>
      <c r="N140" s="174"/>
      <c r="O140" s="182"/>
      <c r="P140" s="3"/>
      <c r="Q140" s="3"/>
      <c r="R140" s="3"/>
      <c r="S140" s="3"/>
      <c r="T140" s="3"/>
      <c r="U140" s="190"/>
    </row>
    <row r="141" ht="24" customHeight="1">
      <c r="A141" s="170" t="s">
        <v>179</v>
      </c>
      <c r="B141" s="76" t="s">
        <v>41</v>
      </c>
      <c r="C141" s="77"/>
      <c r="D141" s="77"/>
      <c r="E141" s="77"/>
      <c r="F141" s="77"/>
      <c r="G141" s="77"/>
      <c r="H141" s="78"/>
      <c r="I141" s="188"/>
      <c r="J141" s="174"/>
      <c r="K141" s="174"/>
      <c r="L141" s="174"/>
      <c r="M141" s="174"/>
      <c r="N141" s="174"/>
      <c r="O141" s="182"/>
      <c r="P141" s="3"/>
      <c r="Q141" s="3"/>
      <c r="R141" s="3"/>
      <c r="S141" s="3"/>
      <c r="T141" s="3"/>
      <c r="U141" s="3"/>
    </row>
    <row r="142" ht="23.25" customHeight="1">
      <c r="A142" s="25" t="s">
        <v>180</v>
      </c>
      <c r="B142" s="44" t="s">
        <v>43</v>
      </c>
      <c r="C142" s="45"/>
      <c r="D142" s="45"/>
      <c r="E142" s="45"/>
      <c r="F142" s="45"/>
      <c r="G142" s="45"/>
      <c r="H142" s="46"/>
      <c r="I142" s="188">
        <v>2024</v>
      </c>
      <c r="J142" s="173">
        <f t="shared" si="15"/>
        <v>106260.31</v>
      </c>
      <c r="K142" s="174"/>
      <c r="L142" s="173">
        <v>95634.309999999998</v>
      </c>
      <c r="M142" s="174">
        <v>10626</v>
      </c>
      <c r="N142" s="174"/>
      <c r="O142" s="182"/>
      <c r="P142" s="3"/>
      <c r="Q142" s="3"/>
      <c r="R142" s="3"/>
      <c r="S142" s="3"/>
      <c r="T142" s="3"/>
    </row>
    <row r="143" ht="23.25" customHeight="1">
      <c r="A143" s="32"/>
      <c r="B143" s="47"/>
      <c r="C143" s="48"/>
      <c r="D143" s="48"/>
      <c r="E143" s="48"/>
      <c r="F143" s="48"/>
      <c r="G143" s="48"/>
      <c r="H143" s="49"/>
      <c r="I143" s="188">
        <v>2025</v>
      </c>
      <c r="J143" s="173">
        <f t="shared" si="15"/>
        <v>115902.31</v>
      </c>
      <c r="K143" s="174"/>
      <c r="L143" s="173">
        <v>105471.10000000001</v>
      </c>
      <c r="M143" s="173">
        <v>10431.209999999999</v>
      </c>
      <c r="N143" s="174"/>
      <c r="O143" s="182"/>
      <c r="P143" s="3"/>
      <c r="Q143" s="3"/>
      <c r="R143" s="3"/>
      <c r="S143" s="3"/>
      <c r="T143" s="3"/>
    </row>
    <row r="144" ht="23.25" customHeight="1">
      <c r="A144" s="39"/>
      <c r="B144" s="76"/>
      <c r="C144" s="77"/>
      <c r="D144" s="77"/>
      <c r="E144" s="77"/>
      <c r="F144" s="77"/>
      <c r="G144" s="77"/>
      <c r="H144" s="78"/>
      <c r="I144" s="201">
        <v>2026</v>
      </c>
      <c r="J144" s="199">
        <f t="shared" si="15"/>
        <v>15164.359999999999</v>
      </c>
      <c r="K144" s="202"/>
      <c r="L144" s="199">
        <v>13344.639999999999</v>
      </c>
      <c r="M144" s="199">
        <v>1819.72</v>
      </c>
      <c r="N144" s="174"/>
      <c r="O144" s="182"/>
      <c r="P144" s="3"/>
      <c r="Q144" s="3"/>
      <c r="R144" s="3"/>
      <c r="S144" s="3"/>
      <c r="T144" s="3"/>
    </row>
    <row r="145" ht="118.5" customHeight="1">
      <c r="A145" s="39" t="s">
        <v>181</v>
      </c>
      <c r="B145" s="112" t="s">
        <v>182</v>
      </c>
      <c r="C145" s="20">
        <v>105</v>
      </c>
      <c r="D145" s="20">
        <v>2025</v>
      </c>
      <c r="E145" s="90" t="s">
        <v>183</v>
      </c>
      <c r="F145" s="23" t="s">
        <v>184</v>
      </c>
      <c r="G145" s="171" t="s">
        <v>185</v>
      </c>
      <c r="H145" s="171" t="s">
        <v>186</v>
      </c>
      <c r="I145" s="188">
        <v>2025</v>
      </c>
      <c r="J145" s="173">
        <f>L145+M145</f>
        <v>12101.359999999999</v>
      </c>
      <c r="K145" s="174"/>
      <c r="L145" s="173">
        <v>10891.219999999999</v>
      </c>
      <c r="M145" s="173">
        <v>1210.1400000000001</v>
      </c>
      <c r="N145" s="174"/>
      <c r="O145" s="189">
        <v>11835.67</v>
      </c>
      <c r="P145" s="3"/>
      <c r="Q145" s="3"/>
      <c r="R145" s="3"/>
      <c r="S145" s="3"/>
      <c r="T145" s="3"/>
      <c r="U145" s="190"/>
    </row>
    <row r="146" ht="25.5" customHeight="1">
      <c r="A146" s="170" t="s">
        <v>187</v>
      </c>
      <c r="B146" s="41" t="s">
        <v>41</v>
      </c>
      <c r="C146" s="42"/>
      <c r="D146" s="42"/>
      <c r="E146" s="42"/>
      <c r="F146" s="42"/>
      <c r="G146" s="42"/>
      <c r="H146" s="43"/>
      <c r="I146" s="188"/>
      <c r="J146" s="174"/>
      <c r="K146" s="174"/>
      <c r="L146" s="174"/>
      <c r="M146" s="174"/>
      <c r="N146" s="174"/>
      <c r="O146" s="182"/>
      <c r="P146" s="3"/>
      <c r="Q146" s="3"/>
      <c r="R146" s="3"/>
      <c r="S146" s="3"/>
      <c r="T146" s="3"/>
    </row>
    <row r="147" ht="23.25" customHeight="1">
      <c r="A147" s="170" t="s">
        <v>188</v>
      </c>
      <c r="B147" s="41" t="s">
        <v>43</v>
      </c>
      <c r="C147" s="42"/>
      <c r="D147" s="42"/>
      <c r="E147" s="42"/>
      <c r="F147" s="42"/>
      <c r="G147" s="42"/>
      <c r="H147" s="43"/>
      <c r="I147" s="188">
        <v>2025</v>
      </c>
      <c r="J147" s="173">
        <f t="shared" ref="J147:J210" si="16">SUM(K147:N147)</f>
        <v>12101.359999999999</v>
      </c>
      <c r="K147" s="174"/>
      <c r="L147" s="173">
        <v>10891.219999999999</v>
      </c>
      <c r="M147" s="173">
        <v>1210.1400000000001</v>
      </c>
      <c r="N147" s="174"/>
      <c r="O147" s="187"/>
      <c r="P147" s="3"/>
      <c r="Q147" s="3"/>
      <c r="R147" s="3"/>
      <c r="S147" s="3"/>
      <c r="T147" s="3"/>
    </row>
    <row r="148" ht="27" customHeight="1">
      <c r="A148" s="25" t="s">
        <v>189</v>
      </c>
      <c r="B148" s="180" t="s">
        <v>190</v>
      </c>
      <c r="C148" s="23">
        <v>25</v>
      </c>
      <c r="D148" s="14" t="s">
        <v>166</v>
      </c>
      <c r="E148" s="26" t="s">
        <v>191</v>
      </c>
      <c r="F148" s="14" t="s">
        <v>192</v>
      </c>
      <c r="G148" s="152" t="s">
        <v>193</v>
      </c>
      <c r="H148" s="152" t="s">
        <v>194</v>
      </c>
      <c r="I148" s="188">
        <v>2024</v>
      </c>
      <c r="J148" s="174">
        <f t="shared" si="16"/>
        <v>5471.2999999999993</v>
      </c>
      <c r="K148" s="174"/>
      <c r="L148" s="174">
        <v>4595.8999999999996</v>
      </c>
      <c r="M148" s="174">
        <v>875.39999999999998</v>
      </c>
      <c r="N148" s="174"/>
      <c r="O148" s="189">
        <f>3922.33+919.77</f>
        <v>4842.1000000000004</v>
      </c>
      <c r="P148" s="3"/>
      <c r="Q148" s="3"/>
      <c r="R148" s="3"/>
      <c r="S148" s="3"/>
      <c r="T148" s="3"/>
      <c r="U148" s="190"/>
    </row>
    <row r="149" ht="218.25" customHeight="1">
      <c r="A149" s="39"/>
      <c r="B149" s="180"/>
      <c r="C149" s="23"/>
      <c r="D149" s="20"/>
      <c r="E149" s="40"/>
      <c r="F149" s="20"/>
      <c r="G149" s="156"/>
      <c r="H149" s="156"/>
      <c r="I149" s="188">
        <v>2025</v>
      </c>
      <c r="J149" s="173">
        <f t="shared" si="16"/>
        <v>919.76999999999998</v>
      </c>
      <c r="K149" s="174"/>
      <c r="L149" s="173">
        <v>734.82000000000005</v>
      </c>
      <c r="M149" s="173">
        <v>184.94999999999999</v>
      </c>
      <c r="N149" s="174"/>
      <c r="O149" s="182"/>
      <c r="P149" s="3"/>
      <c r="Q149" s="3"/>
      <c r="R149" s="3"/>
      <c r="S149" s="3"/>
      <c r="T149" s="3"/>
      <c r="U149" s="190"/>
    </row>
    <row r="150" ht="27" customHeight="1">
      <c r="A150" s="170" t="s">
        <v>195</v>
      </c>
      <c r="B150" s="41" t="s">
        <v>41</v>
      </c>
      <c r="C150" s="42"/>
      <c r="D150" s="42"/>
      <c r="E150" s="42"/>
      <c r="F150" s="42"/>
      <c r="G150" s="42"/>
      <c r="H150" s="43"/>
      <c r="I150" s="188"/>
      <c r="J150" s="174"/>
      <c r="K150" s="174"/>
      <c r="L150" s="174"/>
      <c r="M150" s="174"/>
      <c r="N150" s="174"/>
      <c r="O150" s="182"/>
      <c r="P150" s="3"/>
      <c r="Q150" s="3"/>
      <c r="R150" s="3"/>
      <c r="S150" s="3"/>
      <c r="T150" s="3"/>
    </row>
    <row r="151" ht="27" customHeight="1">
      <c r="A151" s="25" t="s">
        <v>196</v>
      </c>
      <c r="B151" s="44" t="s">
        <v>43</v>
      </c>
      <c r="C151" s="45"/>
      <c r="D151" s="45"/>
      <c r="E151" s="45"/>
      <c r="F151" s="45"/>
      <c r="G151" s="45"/>
      <c r="H151" s="46"/>
      <c r="I151" s="188">
        <v>2024</v>
      </c>
      <c r="J151" s="174">
        <f t="shared" si="16"/>
        <v>5471.2999999999993</v>
      </c>
      <c r="K151" s="174"/>
      <c r="L151" s="174">
        <v>4595.8999999999996</v>
      </c>
      <c r="M151" s="174">
        <v>875.39999999999998</v>
      </c>
      <c r="N151" s="174"/>
      <c r="O151" s="182"/>
      <c r="P151" s="3"/>
      <c r="Q151" s="3"/>
      <c r="R151" s="3"/>
      <c r="S151" s="3"/>
      <c r="T151" s="3"/>
    </row>
    <row r="152" ht="27" customHeight="1">
      <c r="A152" s="32"/>
      <c r="B152" s="47"/>
      <c r="C152" s="48"/>
      <c r="D152" s="48"/>
      <c r="E152" s="48"/>
      <c r="F152" s="48"/>
      <c r="G152" s="48"/>
      <c r="H152" s="49"/>
      <c r="I152" s="188">
        <v>2025</v>
      </c>
      <c r="J152" s="173">
        <f t="shared" si="16"/>
        <v>919.76999999999998</v>
      </c>
      <c r="K152" s="174"/>
      <c r="L152" s="173">
        <v>734.82000000000005</v>
      </c>
      <c r="M152" s="173">
        <v>184.94999999999999</v>
      </c>
      <c r="N152" s="174"/>
      <c r="O152" s="187"/>
      <c r="P152" s="3"/>
      <c r="Q152" s="3"/>
      <c r="R152" s="3"/>
      <c r="S152" s="3"/>
      <c r="T152" s="3"/>
      <c r="U152" s="3">
        <v>79.8913950881321</v>
      </c>
    </row>
    <row r="153" ht="24.75" customHeight="1">
      <c r="A153" s="55" t="s">
        <v>197</v>
      </c>
      <c r="B153" s="193" t="s">
        <v>198</v>
      </c>
      <c r="C153" s="57">
        <v>93</v>
      </c>
      <c r="D153" s="57" t="s">
        <v>199</v>
      </c>
      <c r="E153" s="56" t="s">
        <v>200</v>
      </c>
      <c r="F153" s="57" t="s">
        <v>201</v>
      </c>
      <c r="G153" s="56" t="s">
        <v>202</v>
      </c>
      <c r="H153" s="56" t="s">
        <v>203</v>
      </c>
      <c r="I153" s="195">
        <v>2024</v>
      </c>
      <c r="J153" s="173">
        <f t="shared" si="16"/>
        <v>60000</v>
      </c>
      <c r="K153" s="174"/>
      <c r="L153" s="173">
        <v>54000</v>
      </c>
      <c r="M153" s="174">
        <v>6000</v>
      </c>
      <c r="N153" s="174"/>
      <c r="O153" s="30">
        <f>60000+138377.97</f>
        <v>198377.97</v>
      </c>
      <c r="P153" s="3"/>
      <c r="Q153" s="3"/>
      <c r="R153" s="3"/>
      <c r="S153" s="3"/>
      <c r="T153" s="3"/>
    </row>
    <row r="154" ht="32.25" customHeight="1">
      <c r="A154" s="55"/>
      <c r="B154" s="193"/>
      <c r="C154" s="57"/>
      <c r="D154" s="57"/>
      <c r="E154" s="56"/>
      <c r="F154" s="57"/>
      <c r="G154" s="56"/>
      <c r="H154" s="56"/>
      <c r="I154" s="195">
        <v>2025</v>
      </c>
      <c r="J154" s="173">
        <f t="shared" si="16"/>
        <v>153533.84</v>
      </c>
      <c r="K154" s="174"/>
      <c r="L154" s="173">
        <v>136645.12</v>
      </c>
      <c r="M154" s="173">
        <v>16888.720000000001</v>
      </c>
      <c r="N154" s="174"/>
      <c r="O154" s="38"/>
      <c r="P154" s="3"/>
      <c r="Q154" s="3"/>
      <c r="R154" s="3"/>
      <c r="S154" s="3"/>
      <c r="T154" s="3"/>
      <c r="U154" s="190"/>
    </row>
    <row r="155" ht="145.5" customHeight="1">
      <c r="A155" s="55"/>
      <c r="B155" s="193"/>
      <c r="C155" s="57"/>
      <c r="D155" s="57"/>
      <c r="E155" s="56"/>
      <c r="F155" s="57"/>
      <c r="G155" s="56"/>
      <c r="H155" s="56"/>
      <c r="I155" s="198">
        <v>2026</v>
      </c>
      <c r="J155" s="199">
        <f t="shared" si="16"/>
        <v>38055.360000000001</v>
      </c>
      <c r="K155" s="202"/>
      <c r="L155" s="199">
        <f>13488.72+20000</f>
        <v>33488.720000000001</v>
      </c>
      <c r="M155" s="199">
        <v>4566.6400000000003</v>
      </c>
      <c r="N155" s="202"/>
      <c r="O155" s="38"/>
      <c r="P155" s="3"/>
      <c r="Q155" s="3"/>
      <c r="R155" s="3"/>
      <c r="S155" s="3"/>
      <c r="T155" s="3"/>
      <c r="U155" s="190"/>
    </row>
    <row r="156" ht="19.5" customHeight="1">
      <c r="A156" s="39" t="s">
        <v>204</v>
      </c>
      <c r="B156" s="76" t="s">
        <v>41</v>
      </c>
      <c r="C156" s="77"/>
      <c r="D156" s="77"/>
      <c r="E156" s="77"/>
      <c r="F156" s="77"/>
      <c r="G156" s="77"/>
      <c r="H156" s="78"/>
      <c r="I156" s="188"/>
      <c r="J156" s="174"/>
      <c r="K156" s="174"/>
      <c r="L156" s="174"/>
      <c r="M156" s="174"/>
      <c r="N156" s="174"/>
      <c r="O156" s="38"/>
      <c r="P156" s="3"/>
      <c r="Q156" s="3"/>
      <c r="R156" s="3"/>
      <c r="S156" s="3"/>
      <c r="T156" s="3"/>
    </row>
    <row r="157" ht="19.5" customHeight="1">
      <c r="A157" s="25" t="s">
        <v>205</v>
      </c>
      <c r="B157" s="44" t="s">
        <v>43</v>
      </c>
      <c r="C157" s="45"/>
      <c r="D157" s="45"/>
      <c r="E157" s="45"/>
      <c r="F157" s="45"/>
      <c r="G157" s="45"/>
      <c r="H157" s="46"/>
      <c r="I157" s="188">
        <v>2024</v>
      </c>
      <c r="J157" s="174">
        <f t="shared" si="16"/>
        <v>60000</v>
      </c>
      <c r="K157" s="174"/>
      <c r="L157" s="174">
        <v>54000</v>
      </c>
      <c r="M157" s="174">
        <v>6000</v>
      </c>
      <c r="N157" s="174"/>
      <c r="O157" s="38"/>
      <c r="P157" s="3"/>
      <c r="Q157" s="3"/>
      <c r="R157" s="3"/>
      <c r="S157" s="3"/>
      <c r="T157" s="3"/>
    </row>
    <row r="158" ht="23.25" customHeight="1">
      <c r="A158" s="32"/>
      <c r="B158" s="47"/>
      <c r="C158" s="48"/>
      <c r="D158" s="48"/>
      <c r="E158" s="48"/>
      <c r="F158" s="48"/>
      <c r="G158" s="48"/>
      <c r="H158" s="49"/>
      <c r="I158" s="188">
        <v>2025</v>
      </c>
      <c r="J158" s="173">
        <f t="shared" si="16"/>
        <v>153533.84</v>
      </c>
      <c r="K158" s="174"/>
      <c r="L158" s="173">
        <v>136645.12</v>
      </c>
      <c r="M158" s="173">
        <v>16888.720000000001</v>
      </c>
      <c r="N158" s="174"/>
      <c r="O158" s="38"/>
      <c r="P158" s="3"/>
      <c r="Q158" s="3"/>
      <c r="R158" s="3"/>
      <c r="S158" s="3"/>
      <c r="T158" s="3"/>
      <c r="U158" s="3">
        <v>89</v>
      </c>
    </row>
    <row r="159" ht="23.25" customHeight="1">
      <c r="A159" s="39"/>
      <c r="B159" s="76"/>
      <c r="C159" s="77"/>
      <c r="D159" s="77"/>
      <c r="E159" s="77"/>
      <c r="F159" s="77"/>
      <c r="G159" s="77"/>
      <c r="H159" s="78"/>
      <c r="I159" s="201">
        <v>2026</v>
      </c>
      <c r="J159" s="199">
        <f t="shared" si="16"/>
        <v>38055.360000000001</v>
      </c>
      <c r="K159" s="202"/>
      <c r="L159" s="199">
        <v>33488.720000000001</v>
      </c>
      <c r="M159" s="199">
        <v>4566.6400000000003</v>
      </c>
      <c r="N159" s="202"/>
      <c r="O159" s="38"/>
      <c r="P159" s="3"/>
      <c r="Q159" s="3"/>
      <c r="R159" s="3"/>
      <c r="S159" s="3"/>
      <c r="T159" s="3"/>
      <c r="U159" s="3"/>
    </row>
    <row r="160" ht="119.25" customHeight="1">
      <c r="A160" s="39" t="s">
        <v>206</v>
      </c>
      <c r="B160" s="112" t="s">
        <v>207</v>
      </c>
      <c r="C160" s="20">
        <v>51</v>
      </c>
      <c r="D160" s="20">
        <v>2025</v>
      </c>
      <c r="E160" s="90" t="s">
        <v>208</v>
      </c>
      <c r="F160" s="23" t="s">
        <v>209</v>
      </c>
      <c r="G160" s="171" t="s">
        <v>210</v>
      </c>
      <c r="H160" s="171" t="s">
        <v>211</v>
      </c>
      <c r="I160" s="188">
        <v>2025</v>
      </c>
      <c r="J160" s="173">
        <f t="shared" si="16"/>
        <v>49087.060000000005</v>
      </c>
      <c r="K160" s="174"/>
      <c r="L160" s="173">
        <v>42445.300000000003</v>
      </c>
      <c r="M160" s="173">
        <f>3690.9000000000001+2950.8600000000001</f>
        <v>6641.7600000000002</v>
      </c>
      <c r="N160" s="174"/>
      <c r="O160" s="189">
        <v>46716.779999999999</v>
      </c>
      <c r="P160" s="3"/>
      <c r="Q160" s="3"/>
      <c r="R160" s="3"/>
      <c r="S160" s="3"/>
      <c r="T160" s="3"/>
      <c r="U160" s="190"/>
    </row>
    <row r="161" ht="19.5" customHeight="1">
      <c r="A161" s="170" t="s">
        <v>212</v>
      </c>
      <c r="B161" s="41" t="s">
        <v>41</v>
      </c>
      <c r="C161" s="42"/>
      <c r="D161" s="42"/>
      <c r="E161" s="42"/>
      <c r="F161" s="42"/>
      <c r="G161" s="42"/>
      <c r="H161" s="43"/>
      <c r="I161" s="188"/>
      <c r="J161" s="174"/>
      <c r="K161" s="174"/>
      <c r="L161" s="174"/>
      <c r="M161" s="174"/>
      <c r="N161" s="174"/>
      <c r="O161" s="182"/>
      <c r="P161" s="3"/>
      <c r="Q161" s="3"/>
      <c r="R161" s="3"/>
      <c r="S161" s="3"/>
      <c r="T161" s="3"/>
    </row>
    <row r="162" ht="23.25" customHeight="1">
      <c r="A162" s="170" t="s">
        <v>213</v>
      </c>
      <c r="B162" s="41" t="s">
        <v>43</v>
      </c>
      <c r="C162" s="42"/>
      <c r="D162" s="42"/>
      <c r="E162" s="42"/>
      <c r="F162" s="42"/>
      <c r="G162" s="42"/>
      <c r="H162" s="43"/>
      <c r="I162" s="188">
        <v>2025</v>
      </c>
      <c r="J162" s="173">
        <f t="shared" si="16"/>
        <v>49087.060000000005</v>
      </c>
      <c r="K162" s="174"/>
      <c r="L162" s="173">
        <v>42445.300000000003</v>
      </c>
      <c r="M162" s="173">
        <v>6641.7600000000002</v>
      </c>
      <c r="N162" s="174"/>
      <c r="O162" s="187"/>
      <c r="P162" s="3"/>
      <c r="Q162" s="3"/>
      <c r="R162" s="3"/>
      <c r="S162" s="3"/>
      <c r="T162" s="3"/>
    </row>
    <row r="163" ht="145.5" customHeight="1">
      <c r="A163" s="39" t="s">
        <v>214</v>
      </c>
      <c r="B163" s="112" t="s">
        <v>215</v>
      </c>
      <c r="C163" s="20">
        <v>81</v>
      </c>
      <c r="D163" s="20">
        <v>2025</v>
      </c>
      <c r="E163" s="90" t="s">
        <v>216</v>
      </c>
      <c r="F163" s="23" t="s">
        <v>217</v>
      </c>
      <c r="G163" s="171" t="s">
        <v>218</v>
      </c>
      <c r="H163" s="171" t="s">
        <v>219</v>
      </c>
      <c r="I163" s="188">
        <v>2025</v>
      </c>
      <c r="J163" s="173">
        <f t="shared" si="16"/>
        <v>4770.7399999999998</v>
      </c>
      <c r="K163" s="174"/>
      <c r="L163" s="173">
        <v>3856.1999999999998</v>
      </c>
      <c r="M163" s="173">
        <f>627.70000000000005+286.83999999999997</f>
        <v>914.53999999999996</v>
      </c>
      <c r="N163" s="174"/>
      <c r="O163" s="189">
        <v>4770.7399999999998</v>
      </c>
      <c r="P163" s="3"/>
      <c r="Q163" s="3"/>
      <c r="R163" s="3"/>
      <c r="S163" s="3"/>
      <c r="T163" s="3"/>
      <c r="U163" s="190"/>
    </row>
    <row r="164" ht="25.5" customHeight="1">
      <c r="A164" s="170" t="s">
        <v>220</v>
      </c>
      <c r="B164" s="41" t="s">
        <v>41</v>
      </c>
      <c r="C164" s="42"/>
      <c r="D164" s="42"/>
      <c r="E164" s="42"/>
      <c r="F164" s="42"/>
      <c r="G164" s="42"/>
      <c r="H164" s="43"/>
      <c r="I164" s="188"/>
      <c r="J164" s="174"/>
      <c r="K164" s="174"/>
      <c r="L164" s="174"/>
      <c r="M164" s="174"/>
      <c r="N164" s="174"/>
      <c r="O164" s="182"/>
      <c r="P164" s="3"/>
      <c r="Q164" s="3"/>
      <c r="R164" s="3"/>
      <c r="S164" s="3"/>
      <c r="T164" s="3"/>
    </row>
    <row r="165" ht="26.25" customHeight="1">
      <c r="A165" s="170" t="s">
        <v>221</v>
      </c>
      <c r="B165" s="41" t="s">
        <v>43</v>
      </c>
      <c r="C165" s="42"/>
      <c r="D165" s="42"/>
      <c r="E165" s="42"/>
      <c r="F165" s="42"/>
      <c r="G165" s="42"/>
      <c r="H165" s="43"/>
      <c r="I165" s="188">
        <v>2025</v>
      </c>
      <c r="J165" s="173">
        <f t="shared" si="16"/>
        <v>4770.7399999999998</v>
      </c>
      <c r="K165" s="174"/>
      <c r="L165" s="173">
        <v>3856.1999999999998</v>
      </c>
      <c r="M165" s="173">
        <v>914.53999999999996</v>
      </c>
      <c r="N165" s="174"/>
      <c r="O165" s="187"/>
      <c r="P165" s="3"/>
      <c r="Q165" s="3"/>
      <c r="R165" s="3"/>
      <c r="S165" s="3"/>
      <c r="T165" s="3"/>
    </row>
    <row r="166" ht="179.25" customHeight="1">
      <c r="A166" s="39" t="s">
        <v>222</v>
      </c>
      <c r="B166" s="112" t="s">
        <v>223</v>
      </c>
      <c r="C166" s="20">
        <v>48</v>
      </c>
      <c r="D166" s="20">
        <v>2025</v>
      </c>
      <c r="E166" s="90" t="s">
        <v>224</v>
      </c>
      <c r="F166" s="23" t="s">
        <v>225</v>
      </c>
      <c r="G166" s="171" t="s">
        <v>226</v>
      </c>
      <c r="H166" s="171" t="s">
        <v>227</v>
      </c>
      <c r="I166" s="188">
        <v>2025</v>
      </c>
      <c r="J166" s="203">
        <f t="shared" si="16"/>
        <v>4530.3319799999999</v>
      </c>
      <c r="K166" s="203"/>
      <c r="L166" s="173">
        <f>5112.6+117-1316.60883</f>
        <v>3912.9911700000002</v>
      </c>
      <c r="M166" s="173">
        <f>631.9+193.16-207.71919</f>
        <v>617.34080999999992</v>
      </c>
      <c r="N166" s="174"/>
      <c r="O166" s="189">
        <v>4357.5100000000002</v>
      </c>
      <c r="P166" s="3"/>
      <c r="Q166" s="3"/>
      <c r="R166" s="3"/>
      <c r="S166" s="3"/>
      <c r="T166" s="3"/>
      <c r="U166" s="190"/>
    </row>
    <row r="167" ht="24" customHeight="1">
      <c r="A167" s="170" t="s">
        <v>228</v>
      </c>
      <c r="B167" s="41" t="s">
        <v>41</v>
      </c>
      <c r="C167" s="42"/>
      <c r="D167" s="42"/>
      <c r="E167" s="42"/>
      <c r="F167" s="42"/>
      <c r="G167" s="42"/>
      <c r="H167" s="43"/>
      <c r="I167" s="188"/>
      <c r="J167" s="174"/>
      <c r="K167" s="174"/>
      <c r="L167" s="174"/>
      <c r="M167" s="174"/>
      <c r="N167" s="174"/>
      <c r="O167" s="182"/>
      <c r="P167" s="3"/>
      <c r="Q167" s="3"/>
      <c r="R167" s="3"/>
      <c r="S167" s="3"/>
      <c r="T167" s="3"/>
    </row>
    <row r="168" ht="26.25" customHeight="1">
      <c r="A168" s="170" t="s">
        <v>229</v>
      </c>
      <c r="B168" s="41" t="s">
        <v>43</v>
      </c>
      <c r="C168" s="42"/>
      <c r="D168" s="42"/>
      <c r="E168" s="42"/>
      <c r="F168" s="42"/>
      <c r="G168" s="42"/>
      <c r="H168" s="43"/>
      <c r="I168" s="188">
        <v>2025</v>
      </c>
      <c r="J168" s="173">
        <f t="shared" si="16"/>
        <v>4530.3299999999999</v>
      </c>
      <c r="K168" s="204"/>
      <c r="L168" s="173">
        <v>3912.9899999999998</v>
      </c>
      <c r="M168" s="173">
        <v>617.34000000000003</v>
      </c>
      <c r="N168" s="174"/>
      <c r="O168" s="187"/>
      <c r="P168" s="3"/>
      <c r="Q168" s="3"/>
      <c r="R168" s="3"/>
      <c r="S168" s="3"/>
      <c r="T168" s="3"/>
    </row>
    <row r="169" ht="138.75" customHeight="1">
      <c r="A169" s="39" t="s">
        <v>230</v>
      </c>
      <c r="B169" s="112" t="s">
        <v>231</v>
      </c>
      <c r="C169" s="20">
        <v>70</v>
      </c>
      <c r="D169" s="20">
        <v>2025</v>
      </c>
      <c r="E169" s="90" t="s">
        <v>232</v>
      </c>
      <c r="F169" s="23" t="s">
        <v>233</v>
      </c>
      <c r="G169" s="171" t="s">
        <v>226</v>
      </c>
      <c r="H169" s="171" t="s">
        <v>234</v>
      </c>
      <c r="I169" s="188">
        <v>2025</v>
      </c>
      <c r="J169" s="173">
        <f t="shared" si="16"/>
        <v>121333.78</v>
      </c>
      <c r="K169" s="204"/>
      <c r="L169" s="173">
        <f>104916.7-117</f>
        <v>104799.7</v>
      </c>
      <c r="M169" s="173">
        <f>9123.2000000000007+7410.8800000000001</f>
        <v>16534.080000000002</v>
      </c>
      <c r="N169" s="174"/>
      <c r="O169" s="189">
        <v>121333.78</v>
      </c>
      <c r="P169" s="3"/>
      <c r="Q169" s="3"/>
      <c r="R169" s="3"/>
      <c r="S169" s="3"/>
      <c r="T169" s="3"/>
      <c r="U169" s="190"/>
    </row>
    <row r="170" ht="25.5" customHeight="1">
      <c r="A170" s="170" t="s">
        <v>235</v>
      </c>
      <c r="B170" s="41" t="s">
        <v>41</v>
      </c>
      <c r="C170" s="42"/>
      <c r="D170" s="42"/>
      <c r="E170" s="42"/>
      <c r="F170" s="42"/>
      <c r="G170" s="42"/>
      <c r="H170" s="43"/>
      <c r="I170" s="188"/>
      <c r="J170" s="204"/>
      <c r="K170" s="204"/>
      <c r="L170" s="204"/>
      <c r="M170" s="204"/>
      <c r="N170" s="174"/>
      <c r="O170" s="182"/>
      <c r="P170" s="3"/>
      <c r="Q170" s="3"/>
      <c r="R170" s="3"/>
      <c r="S170" s="3"/>
      <c r="T170" s="3"/>
    </row>
    <row r="171" ht="27" customHeight="1">
      <c r="A171" s="170" t="s">
        <v>236</v>
      </c>
      <c r="B171" s="41" t="s">
        <v>43</v>
      </c>
      <c r="C171" s="42"/>
      <c r="D171" s="42"/>
      <c r="E171" s="42"/>
      <c r="F171" s="42"/>
      <c r="G171" s="42"/>
      <c r="H171" s="43"/>
      <c r="I171" s="188">
        <v>2025</v>
      </c>
      <c r="J171" s="173">
        <f t="shared" si="16"/>
        <v>121333.78</v>
      </c>
      <c r="K171" s="204"/>
      <c r="L171" s="173">
        <v>104799.7</v>
      </c>
      <c r="M171" s="173">
        <v>16534.080000000002</v>
      </c>
      <c r="N171" s="174"/>
      <c r="O171" s="187"/>
      <c r="P171" s="3"/>
      <c r="Q171" s="3"/>
      <c r="R171" s="3"/>
      <c r="S171" s="3"/>
      <c r="T171" s="3"/>
    </row>
    <row r="172" ht="125.25" customHeight="1">
      <c r="A172" s="39" t="s">
        <v>237</v>
      </c>
      <c r="B172" s="112" t="s">
        <v>238</v>
      </c>
      <c r="C172" s="20">
        <v>108</v>
      </c>
      <c r="D172" s="20">
        <v>2025</v>
      </c>
      <c r="E172" s="90" t="s">
        <v>239</v>
      </c>
      <c r="F172" s="23" t="s">
        <v>240</v>
      </c>
      <c r="G172" s="171" t="s">
        <v>241</v>
      </c>
      <c r="H172" s="171" t="s">
        <v>242</v>
      </c>
      <c r="I172" s="188">
        <v>2025</v>
      </c>
      <c r="J172" s="173">
        <f t="shared" si="16"/>
        <v>1360.0899999999999</v>
      </c>
      <c r="K172" s="174"/>
      <c r="L172" s="173">
        <v>1163.3</v>
      </c>
      <c r="M172" s="173">
        <f>115+81.790000000000006</f>
        <v>196.79000000000002</v>
      </c>
      <c r="N172" s="174"/>
      <c r="O172" s="189">
        <v>1360.0899999999999</v>
      </c>
      <c r="P172" s="3"/>
      <c r="Q172" s="3"/>
      <c r="R172" s="3"/>
      <c r="S172" s="3"/>
      <c r="T172" s="3"/>
      <c r="U172" s="190"/>
    </row>
    <row r="173" ht="28.5" customHeight="1">
      <c r="A173" s="170" t="s">
        <v>243</v>
      </c>
      <c r="B173" s="41" t="s">
        <v>41</v>
      </c>
      <c r="C173" s="42"/>
      <c r="D173" s="42"/>
      <c r="E173" s="42"/>
      <c r="F173" s="42"/>
      <c r="G173" s="42"/>
      <c r="H173" s="43"/>
      <c r="I173" s="188"/>
      <c r="J173" s="174"/>
      <c r="K173" s="174"/>
      <c r="L173" s="174"/>
      <c r="M173" s="174"/>
      <c r="N173" s="174"/>
      <c r="O173" s="182"/>
      <c r="P173" s="3"/>
      <c r="Q173" s="3"/>
      <c r="R173" s="3"/>
      <c r="S173" s="3"/>
      <c r="T173" s="3"/>
    </row>
    <row r="174" ht="26.25" customHeight="1">
      <c r="A174" s="170" t="s">
        <v>244</v>
      </c>
      <c r="B174" s="41" t="s">
        <v>43</v>
      </c>
      <c r="C174" s="42"/>
      <c r="D174" s="42"/>
      <c r="E174" s="42"/>
      <c r="F174" s="42"/>
      <c r="G174" s="42"/>
      <c r="H174" s="43"/>
      <c r="I174" s="188">
        <v>2025</v>
      </c>
      <c r="J174" s="173">
        <f t="shared" si="16"/>
        <v>1360.0899999999999</v>
      </c>
      <c r="K174" s="174"/>
      <c r="L174" s="173">
        <v>1163.3</v>
      </c>
      <c r="M174" s="173">
        <v>196.78999999999999</v>
      </c>
      <c r="N174" s="174"/>
      <c r="O174" s="187"/>
      <c r="P174" s="3"/>
      <c r="Q174" s="3"/>
      <c r="R174" s="3"/>
      <c r="S174" s="3"/>
      <c r="T174" s="3"/>
    </row>
    <row r="175" ht="152.25" customHeight="1">
      <c r="A175" s="39" t="s">
        <v>245</v>
      </c>
      <c r="B175" s="112" t="s">
        <v>246</v>
      </c>
      <c r="C175" s="20">
        <v>28</v>
      </c>
      <c r="D175" s="20">
        <v>2025</v>
      </c>
      <c r="E175" s="90" t="s">
        <v>247</v>
      </c>
      <c r="F175" s="23" t="s">
        <v>248</v>
      </c>
      <c r="G175" s="171" t="s">
        <v>249</v>
      </c>
      <c r="H175" s="171" t="s">
        <v>250</v>
      </c>
      <c r="I175" s="188">
        <v>2025</v>
      </c>
      <c r="J175" s="173">
        <f t="shared" si="16"/>
        <v>2928.4306100000003</v>
      </c>
      <c r="K175" s="174"/>
      <c r="L175" s="173">
        <f>4630.1-2125.44005</f>
        <v>2504.6599500000002</v>
      </c>
      <c r="M175" s="173">
        <f>457.9+325.48-359.60934</f>
        <v>423.77066000000002</v>
      </c>
      <c r="N175" s="174"/>
      <c r="O175" s="189">
        <v>2928.4299999999998</v>
      </c>
      <c r="P175" s="3"/>
      <c r="Q175" s="3"/>
      <c r="R175" s="3"/>
      <c r="S175" s="3"/>
      <c r="T175" s="3"/>
      <c r="U175" s="190"/>
    </row>
    <row r="176" ht="24" customHeight="1">
      <c r="A176" s="170" t="s">
        <v>251</v>
      </c>
      <c r="B176" s="41" t="s">
        <v>41</v>
      </c>
      <c r="C176" s="42"/>
      <c r="D176" s="42"/>
      <c r="E176" s="42"/>
      <c r="F176" s="42"/>
      <c r="G176" s="42"/>
      <c r="H176" s="43"/>
      <c r="I176" s="188"/>
      <c r="J176" s="174"/>
      <c r="K176" s="174"/>
      <c r="L176" s="174"/>
      <c r="M176" s="174"/>
      <c r="N176" s="174"/>
      <c r="O176" s="182"/>
      <c r="P176" s="3"/>
      <c r="Q176" s="3"/>
      <c r="R176" s="3"/>
      <c r="S176" s="3"/>
      <c r="T176" s="3"/>
    </row>
    <row r="177" ht="26.25" customHeight="1">
      <c r="A177" s="170" t="s">
        <v>252</v>
      </c>
      <c r="B177" s="41" t="s">
        <v>43</v>
      </c>
      <c r="C177" s="42"/>
      <c r="D177" s="42"/>
      <c r="E177" s="42"/>
      <c r="F177" s="42"/>
      <c r="G177" s="42"/>
      <c r="H177" s="43"/>
      <c r="I177" s="188">
        <v>2025</v>
      </c>
      <c r="J177" s="173">
        <f t="shared" si="16"/>
        <v>2928.4299999999998</v>
      </c>
      <c r="K177" s="174"/>
      <c r="L177" s="173">
        <v>2504.6599999999999</v>
      </c>
      <c r="M177" s="173">
        <v>423.76999999999998</v>
      </c>
      <c r="N177" s="174"/>
      <c r="O177" s="187"/>
      <c r="P177" s="3"/>
      <c r="Q177" s="3"/>
      <c r="R177" s="3"/>
      <c r="S177" s="3"/>
      <c r="T177" s="3"/>
    </row>
    <row r="178" ht="250.5" customHeight="1">
      <c r="A178" s="39" t="s">
        <v>253</v>
      </c>
      <c r="B178" s="112" t="s">
        <v>254</v>
      </c>
      <c r="C178" s="20">
        <v>50</v>
      </c>
      <c r="D178" s="20">
        <v>2025</v>
      </c>
      <c r="E178" s="40" t="s">
        <v>255</v>
      </c>
      <c r="F178" s="20" t="s">
        <v>256</v>
      </c>
      <c r="G178" s="156" t="s">
        <v>257</v>
      </c>
      <c r="H178" s="156" t="s">
        <v>194</v>
      </c>
      <c r="I178" s="188">
        <v>2025</v>
      </c>
      <c r="J178" s="173">
        <f t="shared" si="16"/>
        <v>1672.6108300000001</v>
      </c>
      <c r="K178" s="174"/>
      <c r="L178" s="173">
        <f>2009.7-673.42787</f>
        <v>1336.2721300000001</v>
      </c>
      <c r="M178" s="173">
        <f>354.6+151.24-169.5013</f>
        <v>336.33870000000002</v>
      </c>
      <c r="N178" s="174"/>
      <c r="O178" s="189">
        <v>1672.6099999999999</v>
      </c>
      <c r="P178" s="3"/>
      <c r="Q178" s="3"/>
      <c r="R178" s="3"/>
      <c r="S178" s="3"/>
      <c r="T178" s="3"/>
      <c r="U178" s="190"/>
    </row>
    <row r="179" ht="21.75" customHeight="1">
      <c r="A179" s="170" t="s">
        <v>258</v>
      </c>
      <c r="B179" s="41" t="s">
        <v>41</v>
      </c>
      <c r="C179" s="42"/>
      <c r="D179" s="42"/>
      <c r="E179" s="42"/>
      <c r="F179" s="42"/>
      <c r="G179" s="42"/>
      <c r="H179" s="43"/>
      <c r="I179" s="188"/>
      <c r="J179" s="174"/>
      <c r="K179" s="174"/>
      <c r="L179" s="174"/>
      <c r="M179" s="174"/>
      <c r="N179" s="174"/>
      <c r="O179" s="182"/>
      <c r="P179" s="3"/>
      <c r="Q179" s="3"/>
      <c r="R179" s="3"/>
      <c r="S179" s="3"/>
      <c r="T179" s="3"/>
    </row>
    <row r="180" ht="24.75" customHeight="1">
      <c r="A180" s="170" t="s">
        <v>259</v>
      </c>
      <c r="B180" s="41" t="s">
        <v>43</v>
      </c>
      <c r="C180" s="42"/>
      <c r="D180" s="42"/>
      <c r="E180" s="42"/>
      <c r="F180" s="42"/>
      <c r="G180" s="42"/>
      <c r="H180" s="43"/>
      <c r="I180" s="188">
        <v>2025</v>
      </c>
      <c r="J180" s="173">
        <f t="shared" si="16"/>
        <v>1672.6099999999999</v>
      </c>
      <c r="K180" s="174"/>
      <c r="L180" s="173">
        <v>1336.27</v>
      </c>
      <c r="M180" s="173">
        <v>336.33999999999997</v>
      </c>
      <c r="N180" s="174"/>
      <c r="O180" s="187"/>
      <c r="P180" s="3"/>
      <c r="Q180" s="3"/>
      <c r="R180" s="3"/>
      <c r="S180" s="3"/>
      <c r="T180" s="3"/>
    </row>
    <row r="181" ht="329.25" customHeight="1">
      <c r="A181" s="39" t="s">
        <v>260</v>
      </c>
      <c r="B181" s="112" t="s">
        <v>261</v>
      </c>
      <c r="C181" s="20">
        <v>167</v>
      </c>
      <c r="D181" s="20">
        <v>2025</v>
      </c>
      <c r="E181" s="90" t="s">
        <v>262</v>
      </c>
      <c r="F181" s="23" t="s">
        <v>263</v>
      </c>
      <c r="G181" s="171" t="s">
        <v>264</v>
      </c>
      <c r="H181" s="156" t="s">
        <v>265</v>
      </c>
      <c r="I181" s="188">
        <v>2025</v>
      </c>
      <c r="J181" s="173">
        <f t="shared" si="16"/>
        <v>24810.34</v>
      </c>
      <c r="K181" s="174"/>
      <c r="L181" s="173">
        <v>20987</v>
      </c>
      <c r="M181" s="173">
        <f>2331.9000000000001+1491.4400000000001</f>
        <v>3823.3400000000001</v>
      </c>
      <c r="N181" s="174"/>
      <c r="O181" s="189">
        <v>24810.34</v>
      </c>
      <c r="P181" s="3"/>
      <c r="Q181" s="3"/>
      <c r="R181" s="3"/>
      <c r="S181" s="3"/>
      <c r="T181" s="3"/>
      <c r="U181" s="190"/>
    </row>
    <row r="182" ht="23.25" customHeight="1">
      <c r="A182" s="170" t="s">
        <v>266</v>
      </c>
      <c r="B182" s="41" t="s">
        <v>41</v>
      </c>
      <c r="C182" s="42"/>
      <c r="D182" s="42"/>
      <c r="E182" s="42"/>
      <c r="F182" s="42"/>
      <c r="G182" s="42"/>
      <c r="H182" s="43"/>
      <c r="I182" s="188"/>
      <c r="J182" s="174"/>
      <c r="K182" s="174"/>
      <c r="L182" s="174"/>
      <c r="M182" s="174"/>
      <c r="N182" s="174"/>
      <c r="O182" s="182"/>
      <c r="P182" s="3"/>
      <c r="Q182" s="3"/>
      <c r="R182" s="3"/>
      <c r="S182" s="3"/>
      <c r="T182" s="3"/>
    </row>
    <row r="183" ht="26.25" customHeight="1">
      <c r="A183" s="170" t="s">
        <v>267</v>
      </c>
      <c r="B183" s="41" t="s">
        <v>43</v>
      </c>
      <c r="C183" s="42"/>
      <c r="D183" s="42"/>
      <c r="E183" s="42"/>
      <c r="F183" s="42"/>
      <c r="G183" s="42"/>
      <c r="H183" s="43"/>
      <c r="I183" s="188">
        <v>2025</v>
      </c>
      <c r="J183" s="173">
        <f t="shared" si="16"/>
        <v>24810.34</v>
      </c>
      <c r="K183" s="174"/>
      <c r="L183" s="173">
        <v>20987</v>
      </c>
      <c r="M183" s="173">
        <v>3823.3400000000001</v>
      </c>
      <c r="N183" s="174"/>
      <c r="O183" s="187"/>
      <c r="P183" s="3"/>
      <c r="Q183" s="3"/>
      <c r="R183" s="3"/>
      <c r="S183" s="3"/>
      <c r="T183" s="3"/>
    </row>
    <row r="184" ht="100.5" customHeight="1">
      <c r="A184" s="39" t="s">
        <v>268</v>
      </c>
      <c r="B184" s="40" t="s">
        <v>269</v>
      </c>
      <c r="C184" s="20">
        <v>25</v>
      </c>
      <c r="D184" s="20">
        <v>2026</v>
      </c>
      <c r="E184" s="90" t="s">
        <v>270</v>
      </c>
      <c r="F184" s="20" t="s">
        <v>271</v>
      </c>
      <c r="G184" s="171" t="s">
        <v>272</v>
      </c>
      <c r="H184" s="171" t="s">
        <v>273</v>
      </c>
      <c r="I184" s="188">
        <v>2026</v>
      </c>
      <c r="J184" s="173">
        <f t="shared" si="16"/>
        <v>64165.247199999998</v>
      </c>
      <c r="K184" s="174"/>
      <c r="L184" s="173">
        <v>55823.767200000002</v>
      </c>
      <c r="M184" s="173">
        <v>8341.4799999999996</v>
      </c>
      <c r="N184" s="174"/>
      <c r="O184" s="14"/>
      <c r="P184" s="3"/>
      <c r="Q184" s="3"/>
      <c r="R184" s="3"/>
      <c r="S184" s="3"/>
      <c r="T184" s="3"/>
      <c r="U184" s="190"/>
    </row>
    <row r="185" ht="27" customHeight="1">
      <c r="A185" s="170" t="s">
        <v>274</v>
      </c>
      <c r="B185" s="41" t="s">
        <v>41</v>
      </c>
      <c r="C185" s="42"/>
      <c r="D185" s="42"/>
      <c r="E185" s="42"/>
      <c r="F185" s="42"/>
      <c r="G185" s="42"/>
      <c r="H185" s="43"/>
      <c r="I185" s="188"/>
      <c r="J185" s="174"/>
      <c r="K185" s="174"/>
      <c r="L185" s="174"/>
      <c r="M185" s="174"/>
      <c r="N185" s="174"/>
      <c r="O185" s="34"/>
      <c r="P185" s="3"/>
      <c r="Q185" s="3"/>
      <c r="R185" s="3"/>
      <c r="S185" s="3"/>
      <c r="T185" s="3"/>
    </row>
    <row r="186" ht="24" customHeight="1">
      <c r="A186" s="170" t="s">
        <v>275</v>
      </c>
      <c r="B186" s="41" t="s">
        <v>43</v>
      </c>
      <c r="C186" s="42"/>
      <c r="D186" s="42"/>
      <c r="E186" s="42"/>
      <c r="F186" s="42"/>
      <c r="G186" s="42"/>
      <c r="H186" s="43"/>
      <c r="I186" s="188">
        <v>2026</v>
      </c>
      <c r="J186" s="173">
        <f t="shared" si="16"/>
        <v>64165.247199999998</v>
      </c>
      <c r="K186" s="174"/>
      <c r="L186" s="173">
        <v>55823.767200000002</v>
      </c>
      <c r="M186" s="173">
        <v>8341.4799999999996</v>
      </c>
      <c r="N186" s="174"/>
      <c r="O186" s="20"/>
      <c r="P186" s="3"/>
      <c r="Q186" s="3"/>
      <c r="R186" s="3"/>
      <c r="S186" s="3"/>
      <c r="T186" s="3"/>
    </row>
    <row r="187" ht="100.5" customHeight="1">
      <c r="A187" s="39" t="s">
        <v>276</v>
      </c>
      <c r="B187" s="40" t="s">
        <v>277</v>
      </c>
      <c r="C187" s="20">
        <v>44</v>
      </c>
      <c r="D187" s="20">
        <v>2026</v>
      </c>
      <c r="E187" s="90" t="s">
        <v>278</v>
      </c>
      <c r="F187" s="23" t="s">
        <v>279</v>
      </c>
      <c r="G187" s="171" t="s">
        <v>280</v>
      </c>
      <c r="H187" s="171" t="s">
        <v>281</v>
      </c>
      <c r="I187" s="188">
        <v>2026</v>
      </c>
      <c r="J187" s="173">
        <f t="shared" si="16"/>
        <v>11861.25</v>
      </c>
      <c r="K187" s="174"/>
      <c r="L187" s="173">
        <v>10675.129999999999</v>
      </c>
      <c r="M187" s="173">
        <v>1186.1199999999999</v>
      </c>
      <c r="N187" s="174"/>
      <c r="O187" s="14"/>
      <c r="P187" s="3"/>
      <c r="Q187" s="3"/>
      <c r="R187" s="3"/>
      <c r="S187" s="3"/>
      <c r="T187" s="3"/>
      <c r="U187" s="190"/>
    </row>
    <row r="188" ht="27" customHeight="1">
      <c r="A188" s="170" t="s">
        <v>282</v>
      </c>
      <c r="B188" s="41" t="s">
        <v>41</v>
      </c>
      <c r="C188" s="42"/>
      <c r="D188" s="42"/>
      <c r="E188" s="42"/>
      <c r="F188" s="42"/>
      <c r="G188" s="42"/>
      <c r="H188" s="43"/>
      <c r="I188" s="188"/>
      <c r="J188" s="174"/>
      <c r="K188" s="174"/>
      <c r="L188" s="174"/>
      <c r="M188" s="174"/>
      <c r="N188" s="174"/>
      <c r="O188" s="34"/>
      <c r="P188" s="3"/>
      <c r="Q188" s="3"/>
      <c r="R188" s="3"/>
      <c r="S188" s="3"/>
      <c r="T188" s="3"/>
    </row>
    <row r="189" ht="24" customHeight="1">
      <c r="A189" s="170" t="s">
        <v>283</v>
      </c>
      <c r="B189" s="41" t="s">
        <v>43</v>
      </c>
      <c r="C189" s="42"/>
      <c r="D189" s="42"/>
      <c r="E189" s="42"/>
      <c r="F189" s="42"/>
      <c r="G189" s="42"/>
      <c r="H189" s="43"/>
      <c r="I189" s="188">
        <v>2026</v>
      </c>
      <c r="J189" s="173">
        <f t="shared" si="16"/>
        <v>11861.25</v>
      </c>
      <c r="K189" s="174"/>
      <c r="L189" s="173">
        <v>10675.129999999999</v>
      </c>
      <c r="M189" s="173">
        <v>1186.1199999999999</v>
      </c>
      <c r="N189" s="174"/>
      <c r="O189" s="20"/>
      <c r="P189" s="3"/>
      <c r="Q189" s="3"/>
      <c r="R189" s="3"/>
      <c r="S189" s="3"/>
      <c r="T189" s="3"/>
    </row>
    <row r="190" ht="147" customHeight="1">
      <c r="A190" s="39" t="s">
        <v>284</v>
      </c>
      <c r="B190" s="40" t="s">
        <v>285</v>
      </c>
      <c r="C190" s="20">
        <v>18</v>
      </c>
      <c r="D190" s="20">
        <v>2026</v>
      </c>
      <c r="E190" s="90" t="s">
        <v>286</v>
      </c>
      <c r="F190" s="23" t="s">
        <v>287</v>
      </c>
      <c r="G190" s="171" t="s">
        <v>226</v>
      </c>
      <c r="H190" s="171" t="s">
        <v>288</v>
      </c>
      <c r="I190" s="188">
        <v>2026</v>
      </c>
      <c r="J190" s="173">
        <f t="shared" si="16"/>
        <v>12513.77</v>
      </c>
      <c r="K190" s="174"/>
      <c r="L190" s="173">
        <v>11888.08</v>
      </c>
      <c r="M190" s="173">
        <v>625.69000000000005</v>
      </c>
      <c r="N190" s="174"/>
      <c r="O190" s="14"/>
      <c r="P190" s="3"/>
      <c r="Q190" s="3"/>
      <c r="R190" s="3"/>
      <c r="S190" s="3"/>
      <c r="T190" s="3"/>
      <c r="U190" s="190"/>
    </row>
    <row r="191" ht="27" customHeight="1">
      <c r="A191" s="170" t="s">
        <v>289</v>
      </c>
      <c r="B191" s="41" t="s">
        <v>41</v>
      </c>
      <c r="C191" s="42"/>
      <c r="D191" s="42"/>
      <c r="E191" s="42"/>
      <c r="F191" s="42"/>
      <c r="G191" s="42"/>
      <c r="H191" s="43"/>
      <c r="I191" s="188"/>
      <c r="J191" s="174"/>
      <c r="K191" s="174"/>
      <c r="L191" s="174"/>
      <c r="M191" s="174"/>
      <c r="N191" s="174"/>
      <c r="O191" s="34"/>
      <c r="P191" s="3"/>
      <c r="Q191" s="3"/>
      <c r="R191" s="3"/>
      <c r="S191" s="3"/>
      <c r="T191" s="3"/>
    </row>
    <row r="192" ht="24" customHeight="1">
      <c r="A192" s="170" t="s">
        <v>290</v>
      </c>
      <c r="B192" s="41" t="s">
        <v>43</v>
      </c>
      <c r="C192" s="42"/>
      <c r="D192" s="42"/>
      <c r="E192" s="42"/>
      <c r="F192" s="42"/>
      <c r="G192" s="42"/>
      <c r="H192" s="43"/>
      <c r="I192" s="188">
        <v>2026</v>
      </c>
      <c r="J192" s="173">
        <f t="shared" si="16"/>
        <v>12513.77</v>
      </c>
      <c r="K192" s="174"/>
      <c r="L192" s="173">
        <v>11888.08</v>
      </c>
      <c r="M192" s="173">
        <v>625.69000000000005</v>
      </c>
      <c r="N192" s="174"/>
      <c r="O192" s="20"/>
      <c r="P192" s="3"/>
      <c r="Q192" s="3"/>
      <c r="R192" s="3"/>
      <c r="S192" s="3"/>
      <c r="T192" s="3"/>
    </row>
    <row r="193" ht="145.5" customHeight="1">
      <c r="A193" s="39" t="s">
        <v>291</v>
      </c>
      <c r="B193" s="40" t="s">
        <v>292</v>
      </c>
      <c r="C193" s="20">
        <v>12</v>
      </c>
      <c r="D193" s="20">
        <v>2026</v>
      </c>
      <c r="E193" s="90" t="s">
        <v>293</v>
      </c>
      <c r="F193" s="23" t="s">
        <v>294</v>
      </c>
      <c r="G193" s="171" t="s">
        <v>226</v>
      </c>
      <c r="H193" s="205" t="s">
        <v>288</v>
      </c>
      <c r="I193" s="188">
        <v>2026</v>
      </c>
      <c r="J193" s="173">
        <f t="shared" si="16"/>
        <v>12071.690000000001</v>
      </c>
      <c r="K193" s="174"/>
      <c r="L193" s="173">
        <v>11468.110000000001</v>
      </c>
      <c r="M193" s="173">
        <v>603.58000000000004</v>
      </c>
      <c r="N193" s="174"/>
      <c r="O193" s="14"/>
      <c r="P193" s="3"/>
      <c r="Q193" s="3"/>
      <c r="R193" s="3"/>
      <c r="S193" s="3"/>
      <c r="T193" s="3"/>
      <c r="U193" s="190"/>
    </row>
    <row r="194" ht="27" customHeight="1">
      <c r="A194" s="170" t="s">
        <v>295</v>
      </c>
      <c r="B194" s="41" t="s">
        <v>41</v>
      </c>
      <c r="C194" s="42"/>
      <c r="D194" s="42"/>
      <c r="E194" s="42"/>
      <c r="F194" s="42"/>
      <c r="G194" s="42"/>
      <c r="H194" s="43"/>
      <c r="I194" s="188"/>
      <c r="J194" s="174"/>
      <c r="K194" s="174"/>
      <c r="L194" s="174"/>
      <c r="M194" s="174"/>
      <c r="N194" s="174"/>
      <c r="O194" s="34"/>
      <c r="P194" s="3"/>
      <c r="Q194" s="3"/>
      <c r="R194" s="3"/>
      <c r="S194" s="3"/>
      <c r="T194" s="3"/>
    </row>
    <row r="195" ht="24" customHeight="1">
      <c r="A195" s="170" t="s">
        <v>296</v>
      </c>
      <c r="B195" s="41" t="s">
        <v>43</v>
      </c>
      <c r="C195" s="42"/>
      <c r="D195" s="42"/>
      <c r="E195" s="42"/>
      <c r="F195" s="42"/>
      <c r="G195" s="42"/>
      <c r="H195" s="43"/>
      <c r="I195" s="188">
        <v>2026</v>
      </c>
      <c r="J195" s="173">
        <f t="shared" si="16"/>
        <v>12071.690000000001</v>
      </c>
      <c r="K195" s="174"/>
      <c r="L195" s="173">
        <v>11468.110000000001</v>
      </c>
      <c r="M195" s="173">
        <v>603.58000000000004</v>
      </c>
      <c r="N195" s="174"/>
      <c r="O195" s="20"/>
      <c r="P195" s="3"/>
      <c r="Q195" s="3"/>
      <c r="R195" s="3"/>
      <c r="S195" s="3"/>
      <c r="T195" s="3"/>
    </row>
    <row r="196" ht="120.75" customHeight="1">
      <c r="A196" s="39" t="s">
        <v>297</v>
      </c>
      <c r="B196" s="40" t="s">
        <v>298</v>
      </c>
      <c r="C196" s="20">
        <v>35</v>
      </c>
      <c r="D196" s="20">
        <v>2026</v>
      </c>
      <c r="E196" s="90" t="s">
        <v>299</v>
      </c>
      <c r="F196" s="23" t="s">
        <v>300</v>
      </c>
      <c r="G196" s="171" t="s">
        <v>301</v>
      </c>
      <c r="H196" s="171" t="s">
        <v>302</v>
      </c>
      <c r="I196" s="188">
        <v>2026</v>
      </c>
      <c r="J196" s="173">
        <f t="shared" si="16"/>
        <v>32482.66</v>
      </c>
      <c r="K196" s="174">
        <v>13995.4</v>
      </c>
      <c r="L196" s="173">
        <v>16213.469999999999</v>
      </c>
      <c r="M196" s="173">
        <v>2273.79</v>
      </c>
      <c r="N196" s="174"/>
      <c r="O196" s="14"/>
      <c r="P196" s="3"/>
      <c r="Q196" s="3"/>
      <c r="R196" s="3"/>
      <c r="S196" s="3"/>
      <c r="T196" s="3"/>
      <c r="U196" s="190"/>
    </row>
    <row r="197" ht="27" customHeight="1">
      <c r="A197" s="170" t="s">
        <v>303</v>
      </c>
      <c r="B197" s="41" t="s">
        <v>41</v>
      </c>
      <c r="C197" s="42"/>
      <c r="D197" s="42"/>
      <c r="E197" s="42"/>
      <c r="F197" s="42"/>
      <c r="G197" s="42"/>
      <c r="H197" s="43"/>
      <c r="I197" s="188"/>
      <c r="J197" s="204"/>
      <c r="K197" s="204"/>
      <c r="L197" s="204"/>
      <c r="M197" s="204"/>
      <c r="N197" s="174"/>
      <c r="O197" s="34"/>
      <c r="P197" s="3"/>
      <c r="Q197" s="3"/>
      <c r="R197" s="3"/>
      <c r="S197" s="3"/>
      <c r="T197" s="3"/>
    </row>
    <row r="198" ht="24" customHeight="1">
      <c r="A198" s="170" t="s">
        <v>304</v>
      </c>
      <c r="B198" s="41" t="s">
        <v>43</v>
      </c>
      <c r="C198" s="42"/>
      <c r="D198" s="42"/>
      <c r="E198" s="42"/>
      <c r="F198" s="42"/>
      <c r="G198" s="42"/>
      <c r="H198" s="43"/>
      <c r="I198" s="188">
        <v>2026</v>
      </c>
      <c r="J198" s="173">
        <f t="shared" si="16"/>
        <v>32482.66</v>
      </c>
      <c r="K198" s="174">
        <v>13995.4</v>
      </c>
      <c r="L198" s="173">
        <v>16213.469999999999</v>
      </c>
      <c r="M198" s="173">
        <v>2273.79</v>
      </c>
      <c r="N198" s="174"/>
      <c r="O198" s="20"/>
      <c r="P198" s="3"/>
      <c r="Q198" s="3"/>
      <c r="R198" s="3"/>
      <c r="S198" s="3"/>
      <c r="T198" s="3"/>
    </row>
    <row r="199" ht="129.75" customHeight="1">
      <c r="A199" s="39" t="s">
        <v>305</v>
      </c>
      <c r="B199" s="40" t="s">
        <v>306</v>
      </c>
      <c r="C199" s="20">
        <v>108</v>
      </c>
      <c r="D199" s="20">
        <v>2026</v>
      </c>
      <c r="E199" s="90" t="s">
        <v>307</v>
      </c>
      <c r="F199" s="23" t="s">
        <v>308</v>
      </c>
      <c r="G199" s="171" t="s">
        <v>241</v>
      </c>
      <c r="H199" s="171" t="s">
        <v>309</v>
      </c>
      <c r="I199" s="188">
        <v>2026</v>
      </c>
      <c r="J199" s="173">
        <f t="shared" si="16"/>
        <v>12315.908100000001</v>
      </c>
      <c r="K199" s="174"/>
      <c r="L199" s="173">
        <v>11207.4781</v>
      </c>
      <c r="M199" s="173">
        <v>1108.4300000000001</v>
      </c>
      <c r="N199" s="174"/>
      <c r="O199" s="14"/>
      <c r="P199" s="3"/>
      <c r="Q199" s="3"/>
      <c r="R199" s="3"/>
      <c r="S199" s="3"/>
      <c r="T199" s="3"/>
      <c r="U199" s="190"/>
    </row>
    <row r="200" ht="27" customHeight="1">
      <c r="A200" s="170" t="s">
        <v>310</v>
      </c>
      <c r="B200" s="41" t="s">
        <v>41</v>
      </c>
      <c r="C200" s="42"/>
      <c r="D200" s="42"/>
      <c r="E200" s="42"/>
      <c r="F200" s="42"/>
      <c r="G200" s="42"/>
      <c r="H200" s="43"/>
      <c r="I200" s="188"/>
      <c r="J200" s="174"/>
      <c r="K200" s="174"/>
      <c r="L200" s="174"/>
      <c r="M200" s="174"/>
      <c r="N200" s="174"/>
      <c r="O200" s="34"/>
      <c r="P200" s="3"/>
      <c r="Q200" s="3"/>
      <c r="R200" s="3"/>
      <c r="S200" s="3"/>
      <c r="T200" s="3"/>
    </row>
    <row r="201" ht="24" customHeight="1">
      <c r="A201" s="170" t="s">
        <v>311</v>
      </c>
      <c r="B201" s="41" t="s">
        <v>43</v>
      </c>
      <c r="C201" s="42"/>
      <c r="D201" s="42"/>
      <c r="E201" s="42"/>
      <c r="F201" s="42"/>
      <c r="G201" s="42"/>
      <c r="H201" s="43"/>
      <c r="I201" s="188">
        <v>2026</v>
      </c>
      <c r="J201" s="173">
        <f t="shared" si="16"/>
        <v>12315.908100000001</v>
      </c>
      <c r="K201" s="174"/>
      <c r="L201" s="173">
        <v>11207.4781</v>
      </c>
      <c r="M201" s="173">
        <v>1108.4300000000001</v>
      </c>
      <c r="N201" s="174"/>
      <c r="O201" s="20"/>
      <c r="P201" s="3"/>
      <c r="Q201" s="3"/>
      <c r="R201" s="3"/>
      <c r="S201" s="3"/>
      <c r="T201" s="3"/>
    </row>
    <row r="202" ht="145.5" customHeight="1">
      <c r="A202" s="39" t="s">
        <v>312</v>
      </c>
      <c r="B202" s="40" t="s">
        <v>313</v>
      </c>
      <c r="C202" s="20">
        <v>28</v>
      </c>
      <c r="D202" s="20">
        <v>2026</v>
      </c>
      <c r="E202" s="90" t="s">
        <v>314</v>
      </c>
      <c r="F202" s="23" t="s">
        <v>315</v>
      </c>
      <c r="G202" s="171" t="s">
        <v>77</v>
      </c>
      <c r="H202" s="171" t="s">
        <v>316</v>
      </c>
      <c r="I202" s="188">
        <v>2026</v>
      </c>
      <c r="J202" s="173">
        <f t="shared" si="16"/>
        <v>1349.3820000000001</v>
      </c>
      <c r="K202" s="174"/>
      <c r="L202" s="173">
        <v>1214.442</v>
      </c>
      <c r="M202" s="173">
        <v>134.94</v>
      </c>
      <c r="N202" s="174"/>
      <c r="O202" s="14"/>
      <c r="P202" s="3"/>
      <c r="Q202" s="3"/>
      <c r="R202" s="3"/>
      <c r="S202" s="3"/>
      <c r="T202" s="3"/>
      <c r="U202" s="190"/>
    </row>
    <row r="203" ht="27" customHeight="1">
      <c r="A203" s="170" t="s">
        <v>317</v>
      </c>
      <c r="B203" s="41" t="s">
        <v>41</v>
      </c>
      <c r="C203" s="42"/>
      <c r="D203" s="42"/>
      <c r="E203" s="42"/>
      <c r="F203" s="42"/>
      <c r="G203" s="42"/>
      <c r="H203" s="43"/>
      <c r="I203" s="188"/>
      <c r="J203" s="174"/>
      <c r="K203" s="174"/>
      <c r="L203" s="174"/>
      <c r="M203" s="174"/>
      <c r="N203" s="174"/>
      <c r="O203" s="34"/>
      <c r="P203" s="3"/>
      <c r="Q203" s="3"/>
      <c r="R203" s="3"/>
      <c r="S203" s="3"/>
      <c r="T203" s="3"/>
    </row>
    <row r="204" ht="24" customHeight="1">
      <c r="A204" s="170" t="s">
        <v>318</v>
      </c>
      <c r="B204" s="41" t="s">
        <v>43</v>
      </c>
      <c r="C204" s="42"/>
      <c r="D204" s="42"/>
      <c r="E204" s="42"/>
      <c r="F204" s="42"/>
      <c r="G204" s="42"/>
      <c r="H204" s="43"/>
      <c r="I204" s="188">
        <v>2026</v>
      </c>
      <c r="J204" s="173">
        <f t="shared" si="16"/>
        <v>1376.3820000000001</v>
      </c>
      <c r="K204" s="174"/>
      <c r="L204" s="173">
        <v>1241.442</v>
      </c>
      <c r="M204" s="173">
        <v>134.94</v>
      </c>
      <c r="N204" s="174"/>
      <c r="O204" s="20"/>
      <c r="P204" s="3"/>
      <c r="Q204" s="3"/>
      <c r="R204" s="3"/>
      <c r="S204" s="3"/>
      <c r="T204" s="3"/>
    </row>
    <row r="205" ht="108" customHeight="1">
      <c r="A205" s="39" t="s">
        <v>319</v>
      </c>
      <c r="B205" s="40" t="s">
        <v>320</v>
      </c>
      <c r="C205" s="20">
        <v>32</v>
      </c>
      <c r="D205" s="20">
        <v>2026</v>
      </c>
      <c r="E205" s="90" t="s">
        <v>321</v>
      </c>
      <c r="F205" s="23" t="s">
        <v>322</v>
      </c>
      <c r="G205" s="171" t="s">
        <v>323</v>
      </c>
      <c r="H205" s="171" t="s">
        <v>324</v>
      </c>
      <c r="I205" s="188">
        <v>2026</v>
      </c>
      <c r="J205" s="173">
        <f t="shared" si="16"/>
        <v>12107.2703</v>
      </c>
      <c r="K205" s="174"/>
      <c r="L205" s="173">
        <v>10775.470300000001</v>
      </c>
      <c r="M205" s="173">
        <v>1331.8</v>
      </c>
      <c r="N205" s="174"/>
      <c r="O205" s="14"/>
      <c r="P205" s="3"/>
      <c r="Q205" s="3"/>
      <c r="R205" s="3"/>
      <c r="S205" s="3"/>
      <c r="T205" s="3"/>
      <c r="U205" s="190"/>
    </row>
    <row r="206" ht="27" customHeight="1">
      <c r="A206" s="170" t="s">
        <v>325</v>
      </c>
      <c r="B206" s="41" t="s">
        <v>41</v>
      </c>
      <c r="C206" s="42"/>
      <c r="D206" s="42"/>
      <c r="E206" s="42"/>
      <c r="F206" s="42"/>
      <c r="G206" s="42"/>
      <c r="H206" s="43"/>
      <c r="I206" s="188"/>
      <c r="J206" s="174"/>
      <c r="K206" s="174"/>
      <c r="L206" s="174"/>
      <c r="M206" s="174"/>
      <c r="N206" s="174"/>
      <c r="O206" s="34"/>
      <c r="P206" s="3"/>
      <c r="Q206" s="3"/>
      <c r="R206" s="3"/>
      <c r="S206" s="3"/>
      <c r="T206" s="3"/>
    </row>
    <row r="207" ht="24" customHeight="1">
      <c r="A207" s="170" t="s">
        <v>326</v>
      </c>
      <c r="B207" s="41" t="s">
        <v>43</v>
      </c>
      <c r="C207" s="42"/>
      <c r="D207" s="42"/>
      <c r="E207" s="42"/>
      <c r="F207" s="42"/>
      <c r="G207" s="42"/>
      <c r="H207" s="43"/>
      <c r="I207" s="188">
        <v>2026</v>
      </c>
      <c r="J207" s="173">
        <f t="shared" si="16"/>
        <v>12107.2703</v>
      </c>
      <c r="K207" s="174"/>
      <c r="L207" s="173">
        <v>10775.470300000001</v>
      </c>
      <c r="M207" s="173">
        <v>1331.8</v>
      </c>
      <c r="N207" s="174"/>
      <c r="O207" s="20"/>
      <c r="P207" s="3"/>
      <c r="Q207" s="3"/>
      <c r="R207" s="3"/>
      <c r="S207" s="3"/>
      <c r="T207" s="3"/>
    </row>
    <row r="208" ht="138.75" customHeight="1">
      <c r="A208" s="170" t="s">
        <v>327</v>
      </c>
      <c r="B208" s="90" t="s">
        <v>328</v>
      </c>
      <c r="C208" s="23">
        <v>50</v>
      </c>
      <c r="D208" s="23" t="s">
        <v>114</v>
      </c>
      <c r="E208" s="90" t="s">
        <v>329</v>
      </c>
      <c r="F208" s="23" t="s">
        <v>330</v>
      </c>
      <c r="G208" s="171" t="s">
        <v>331</v>
      </c>
      <c r="H208" s="171" t="s">
        <v>332</v>
      </c>
      <c r="I208" s="188">
        <v>2026</v>
      </c>
      <c r="J208" s="173">
        <f t="shared" si="16"/>
        <v>111380.95</v>
      </c>
      <c r="K208" s="174"/>
      <c r="L208" s="173">
        <v>100242.86</v>
      </c>
      <c r="M208" s="173">
        <v>11138.09</v>
      </c>
      <c r="N208" s="174"/>
      <c r="O208" s="14"/>
      <c r="P208" s="3"/>
      <c r="Q208" s="3"/>
      <c r="R208" s="3"/>
      <c r="S208" s="3"/>
      <c r="T208" s="3"/>
      <c r="U208" s="190"/>
    </row>
    <row r="209" ht="31.5" customHeight="1">
      <c r="A209" s="170"/>
      <c r="B209" s="90"/>
      <c r="C209" s="23"/>
      <c r="D209" s="23"/>
      <c r="E209" s="90"/>
      <c r="F209" s="23"/>
      <c r="G209" s="171"/>
      <c r="H209" s="171"/>
      <c r="I209" s="188">
        <v>2027</v>
      </c>
      <c r="J209" s="173">
        <f t="shared" si="16"/>
        <v>36441.945999999996</v>
      </c>
      <c r="K209" s="174"/>
      <c r="L209" s="173">
        <v>32797.745999999999</v>
      </c>
      <c r="M209" s="173">
        <v>3644.1999999999998</v>
      </c>
      <c r="N209" s="174"/>
      <c r="O209" s="34"/>
      <c r="P209" s="3"/>
      <c r="Q209" s="3"/>
      <c r="R209" s="3"/>
      <c r="S209" s="3"/>
      <c r="T209" s="3"/>
      <c r="U209" s="190"/>
    </row>
    <row r="210" ht="27" customHeight="1">
      <c r="A210" s="170" t="s">
        <v>333</v>
      </c>
      <c r="B210" s="41" t="s">
        <v>41</v>
      </c>
      <c r="C210" s="42"/>
      <c r="D210" s="42"/>
      <c r="E210" s="42"/>
      <c r="F210" s="42"/>
      <c r="G210" s="42"/>
      <c r="H210" s="43"/>
      <c r="I210" s="188"/>
      <c r="J210" s="174"/>
      <c r="K210" s="174"/>
      <c r="L210" s="174"/>
      <c r="M210" s="174"/>
      <c r="N210" s="174"/>
      <c r="O210" s="34"/>
      <c r="P210" s="3"/>
      <c r="Q210" s="3"/>
      <c r="R210" s="3"/>
      <c r="S210" s="3"/>
      <c r="T210" s="3"/>
    </row>
    <row r="211" ht="24" customHeight="1">
      <c r="A211" s="25" t="s">
        <v>334</v>
      </c>
      <c r="B211" s="44" t="s">
        <v>43</v>
      </c>
      <c r="C211" s="45"/>
      <c r="D211" s="45"/>
      <c r="E211" s="45"/>
      <c r="F211" s="45"/>
      <c r="G211" s="45"/>
      <c r="H211" s="46"/>
      <c r="I211" s="188">
        <v>2026</v>
      </c>
      <c r="J211" s="173">
        <f t="shared" ref="J211:J254" si="17">SUM(K211:N211)</f>
        <v>111380.95</v>
      </c>
      <c r="K211" s="174"/>
      <c r="L211" s="173">
        <v>100242.86</v>
      </c>
      <c r="M211" s="173">
        <v>11138.09</v>
      </c>
      <c r="N211" s="174"/>
      <c r="O211" s="20"/>
      <c r="P211" s="3"/>
      <c r="Q211" s="3"/>
      <c r="R211" s="3"/>
      <c r="S211" s="3"/>
      <c r="T211" s="3"/>
    </row>
    <row r="212" ht="24" customHeight="1">
      <c r="A212" s="39"/>
      <c r="B212" s="76"/>
      <c r="C212" s="77"/>
      <c r="D212" s="77"/>
      <c r="E212" s="77"/>
      <c r="F212" s="77"/>
      <c r="G212" s="77"/>
      <c r="H212" s="78"/>
      <c r="I212" s="188">
        <v>2027</v>
      </c>
      <c r="J212" s="173">
        <f t="shared" si="17"/>
        <v>36441.945999999996</v>
      </c>
      <c r="K212" s="174"/>
      <c r="L212" s="173">
        <v>32797.745999999999</v>
      </c>
      <c r="M212" s="173">
        <v>3644.1999999999998</v>
      </c>
      <c r="N212" s="174"/>
      <c r="O212" s="34"/>
      <c r="P212" s="3"/>
      <c r="Q212" s="3"/>
      <c r="R212" s="3"/>
      <c r="S212" s="3"/>
      <c r="T212" s="3"/>
    </row>
    <row r="213" ht="161.25" customHeight="1">
      <c r="A213" s="39" t="s">
        <v>335</v>
      </c>
      <c r="B213" s="40" t="s">
        <v>336</v>
      </c>
      <c r="C213" s="20">
        <v>35</v>
      </c>
      <c r="D213" s="20">
        <v>2026</v>
      </c>
      <c r="E213" s="90" t="s">
        <v>337</v>
      </c>
      <c r="F213" s="23" t="s">
        <v>338</v>
      </c>
      <c r="G213" s="171" t="s">
        <v>339</v>
      </c>
      <c r="H213" s="171" t="s">
        <v>340</v>
      </c>
      <c r="I213" s="188">
        <v>2026</v>
      </c>
      <c r="J213" s="173">
        <f t="shared" si="17"/>
        <v>8188.8299999999999</v>
      </c>
      <c r="K213" s="174"/>
      <c r="L213" s="173">
        <v>7533.7200000000003</v>
      </c>
      <c r="M213" s="173">
        <v>655.11000000000001</v>
      </c>
      <c r="N213" s="174"/>
      <c r="O213" s="14"/>
      <c r="P213" s="3"/>
      <c r="Q213" s="3"/>
      <c r="R213" s="3"/>
      <c r="S213" s="3"/>
      <c r="T213" s="3"/>
      <c r="U213" s="190"/>
    </row>
    <row r="214" ht="27" customHeight="1">
      <c r="A214" s="170" t="s">
        <v>341</v>
      </c>
      <c r="B214" s="41" t="s">
        <v>41</v>
      </c>
      <c r="C214" s="42"/>
      <c r="D214" s="42"/>
      <c r="E214" s="42"/>
      <c r="F214" s="42"/>
      <c r="G214" s="42"/>
      <c r="H214" s="43"/>
      <c r="I214" s="188"/>
      <c r="J214" s="174"/>
      <c r="K214" s="174"/>
      <c r="L214" s="174"/>
      <c r="M214" s="174"/>
      <c r="N214" s="174"/>
      <c r="O214" s="34"/>
      <c r="P214" s="3"/>
      <c r="Q214" s="3"/>
      <c r="R214" s="3"/>
      <c r="S214" s="3"/>
      <c r="T214" s="3"/>
    </row>
    <row r="215" ht="24" customHeight="1">
      <c r="A215" s="170" t="s">
        <v>342</v>
      </c>
      <c r="B215" s="41" t="s">
        <v>43</v>
      </c>
      <c r="C215" s="42"/>
      <c r="D215" s="42"/>
      <c r="E215" s="42"/>
      <c r="F215" s="42"/>
      <c r="G215" s="42"/>
      <c r="H215" s="43"/>
      <c r="I215" s="188">
        <v>2026</v>
      </c>
      <c r="J215" s="173">
        <f t="shared" si="17"/>
        <v>8188.8299999999999</v>
      </c>
      <c r="K215" s="174"/>
      <c r="L215" s="173">
        <v>7533.7200000000003</v>
      </c>
      <c r="M215" s="173">
        <v>655.11000000000001</v>
      </c>
      <c r="N215" s="174"/>
      <c r="O215" s="20"/>
      <c r="P215" s="3"/>
      <c r="Q215" s="3"/>
      <c r="R215" s="3"/>
      <c r="S215" s="3"/>
      <c r="T215" s="3"/>
    </row>
    <row r="216" ht="180.75" customHeight="1">
      <c r="A216" s="39" t="s">
        <v>343</v>
      </c>
      <c r="B216" s="40" t="s">
        <v>344</v>
      </c>
      <c r="C216" s="20">
        <v>15</v>
      </c>
      <c r="D216" s="20">
        <v>2026</v>
      </c>
      <c r="E216" s="90" t="s">
        <v>345</v>
      </c>
      <c r="F216" s="23" t="s">
        <v>346</v>
      </c>
      <c r="G216" s="171" t="s">
        <v>339</v>
      </c>
      <c r="H216" s="205" t="s">
        <v>340</v>
      </c>
      <c r="I216" s="188">
        <v>2026</v>
      </c>
      <c r="J216" s="173">
        <f t="shared" si="17"/>
        <v>4268.0500000000002</v>
      </c>
      <c r="K216" s="174"/>
      <c r="L216" s="173">
        <v>3926.6100000000001</v>
      </c>
      <c r="M216" s="173">
        <v>341.44</v>
      </c>
      <c r="N216" s="174"/>
      <c r="O216" s="14"/>
      <c r="P216" s="3"/>
      <c r="Q216" s="3"/>
      <c r="R216" s="3"/>
      <c r="S216" s="3"/>
      <c r="T216" s="3"/>
      <c r="U216" s="190"/>
    </row>
    <row r="217" ht="27" customHeight="1">
      <c r="A217" s="170" t="s">
        <v>347</v>
      </c>
      <c r="B217" s="41" t="s">
        <v>41</v>
      </c>
      <c r="C217" s="42"/>
      <c r="D217" s="42"/>
      <c r="E217" s="42"/>
      <c r="F217" s="42"/>
      <c r="G217" s="42"/>
      <c r="H217" s="43"/>
      <c r="I217" s="188"/>
      <c r="J217" s="174"/>
      <c r="K217" s="174"/>
      <c r="L217" s="174"/>
      <c r="M217" s="174"/>
      <c r="N217" s="174"/>
      <c r="O217" s="34"/>
      <c r="P217" s="3"/>
      <c r="Q217" s="3"/>
      <c r="R217" s="3"/>
      <c r="S217" s="3"/>
      <c r="T217" s="3"/>
    </row>
    <row r="218" ht="24" customHeight="1">
      <c r="A218" s="170" t="s">
        <v>348</v>
      </c>
      <c r="B218" s="41" t="s">
        <v>43</v>
      </c>
      <c r="C218" s="42"/>
      <c r="D218" s="42"/>
      <c r="E218" s="42"/>
      <c r="F218" s="42"/>
      <c r="G218" s="42"/>
      <c r="H218" s="43"/>
      <c r="I218" s="188">
        <v>2026</v>
      </c>
      <c r="J218" s="173">
        <f t="shared" si="17"/>
        <v>4268.0500000000002</v>
      </c>
      <c r="K218" s="174"/>
      <c r="L218" s="173">
        <v>3926.6100000000001</v>
      </c>
      <c r="M218" s="173">
        <v>341.44</v>
      </c>
      <c r="N218" s="174"/>
      <c r="O218" s="20"/>
      <c r="P218" s="3"/>
      <c r="Q218" s="3"/>
      <c r="R218" s="3"/>
      <c r="S218" s="3"/>
      <c r="T218" s="3"/>
    </row>
    <row r="219" ht="180.75" customHeight="1">
      <c r="A219" s="39" t="s">
        <v>349</v>
      </c>
      <c r="B219" s="40" t="s">
        <v>350</v>
      </c>
      <c r="C219" s="20">
        <v>32</v>
      </c>
      <c r="D219" s="20">
        <v>2027</v>
      </c>
      <c r="E219" s="90" t="s">
        <v>351</v>
      </c>
      <c r="F219" s="23" t="s">
        <v>352</v>
      </c>
      <c r="G219" s="171" t="s">
        <v>353</v>
      </c>
      <c r="H219" s="171" t="s">
        <v>353</v>
      </c>
      <c r="I219" s="188">
        <v>2027</v>
      </c>
      <c r="J219" s="173">
        <f t="shared" si="17"/>
        <v>96202.664000000004</v>
      </c>
      <c r="K219" s="204"/>
      <c r="L219" s="173">
        <v>86582.394</v>
      </c>
      <c r="M219" s="173">
        <v>9620.2700000000004</v>
      </c>
      <c r="N219" s="204"/>
      <c r="O219" s="14"/>
      <c r="P219" s="3"/>
      <c r="Q219" s="3"/>
      <c r="R219" s="3"/>
      <c r="S219" s="3"/>
      <c r="T219" s="3"/>
      <c r="U219" s="190"/>
    </row>
    <row r="220" ht="27" customHeight="1">
      <c r="A220" s="170" t="s">
        <v>354</v>
      </c>
      <c r="B220" s="41" t="s">
        <v>41</v>
      </c>
      <c r="C220" s="42"/>
      <c r="D220" s="42"/>
      <c r="E220" s="42"/>
      <c r="F220" s="42"/>
      <c r="G220" s="42"/>
      <c r="H220" s="43"/>
      <c r="I220" s="206"/>
      <c r="J220" s="204"/>
      <c r="K220" s="204"/>
      <c r="L220" s="204"/>
      <c r="M220" s="204"/>
      <c r="N220" s="204"/>
      <c r="O220" s="34"/>
      <c r="P220" s="3"/>
      <c r="Q220" s="3"/>
      <c r="R220" s="3"/>
      <c r="S220" s="3"/>
      <c r="T220" s="3"/>
    </row>
    <row r="221" ht="24" customHeight="1">
      <c r="A221" s="170" t="s">
        <v>355</v>
      </c>
      <c r="B221" s="41" t="s">
        <v>43</v>
      </c>
      <c r="C221" s="42"/>
      <c r="D221" s="42"/>
      <c r="E221" s="42"/>
      <c r="F221" s="42"/>
      <c r="G221" s="42"/>
      <c r="H221" s="43"/>
      <c r="I221" s="188">
        <v>2027</v>
      </c>
      <c r="J221" s="173">
        <f t="shared" si="17"/>
        <v>96202.664000000004</v>
      </c>
      <c r="K221" s="204"/>
      <c r="L221" s="173">
        <v>86582.394</v>
      </c>
      <c r="M221" s="173">
        <v>9620.2700000000004</v>
      </c>
      <c r="N221" s="204"/>
      <c r="O221" s="20"/>
      <c r="P221" s="3"/>
      <c r="Q221" s="3"/>
      <c r="R221" s="3"/>
      <c r="S221" s="3"/>
      <c r="T221" s="3"/>
    </row>
    <row r="222" ht="180.75" customHeight="1">
      <c r="A222" s="39" t="s">
        <v>356</v>
      </c>
      <c r="B222" s="40" t="s">
        <v>357</v>
      </c>
      <c r="C222" s="20">
        <v>83</v>
      </c>
      <c r="D222" s="20">
        <v>2027</v>
      </c>
      <c r="E222" s="90" t="s">
        <v>358</v>
      </c>
      <c r="F222" s="23" t="s">
        <v>359</v>
      </c>
      <c r="G222" s="171" t="s">
        <v>360</v>
      </c>
      <c r="H222" s="171" t="s">
        <v>360</v>
      </c>
      <c r="I222" s="188">
        <v>2027</v>
      </c>
      <c r="J222" s="173">
        <f t="shared" si="17"/>
        <v>9373.5968000000012</v>
      </c>
      <c r="K222" s="204"/>
      <c r="L222" s="173">
        <v>8529.9768000000004</v>
      </c>
      <c r="M222" s="173">
        <v>843.62</v>
      </c>
      <c r="N222" s="204"/>
      <c r="O222" s="14"/>
      <c r="P222" s="3"/>
      <c r="Q222" s="3"/>
      <c r="R222" s="3"/>
      <c r="S222" s="3"/>
      <c r="T222" s="3"/>
      <c r="U222" s="190"/>
    </row>
    <row r="223" ht="27" customHeight="1">
      <c r="A223" s="170" t="s">
        <v>361</v>
      </c>
      <c r="B223" s="41" t="s">
        <v>41</v>
      </c>
      <c r="C223" s="42"/>
      <c r="D223" s="42"/>
      <c r="E223" s="42"/>
      <c r="F223" s="42"/>
      <c r="G223" s="42"/>
      <c r="H223" s="43"/>
      <c r="I223" s="206"/>
      <c r="J223" s="204"/>
      <c r="K223" s="204"/>
      <c r="L223" s="204"/>
      <c r="M223" s="204"/>
      <c r="N223" s="204"/>
      <c r="O223" s="34"/>
      <c r="P223" s="3"/>
      <c r="Q223" s="3"/>
      <c r="R223" s="3"/>
      <c r="S223" s="3"/>
      <c r="T223" s="3"/>
    </row>
    <row r="224" ht="24" customHeight="1">
      <c r="A224" s="170" t="s">
        <v>362</v>
      </c>
      <c r="B224" s="41" t="s">
        <v>43</v>
      </c>
      <c r="C224" s="42"/>
      <c r="D224" s="42"/>
      <c r="E224" s="42"/>
      <c r="F224" s="42"/>
      <c r="G224" s="42"/>
      <c r="H224" s="43"/>
      <c r="I224" s="188">
        <v>2027</v>
      </c>
      <c r="J224" s="173">
        <f t="shared" si="17"/>
        <v>9373.5968000000012</v>
      </c>
      <c r="K224" s="204"/>
      <c r="L224" s="173">
        <v>8529.9768000000004</v>
      </c>
      <c r="M224" s="173">
        <v>843.62</v>
      </c>
      <c r="N224" s="204"/>
      <c r="O224" s="20"/>
      <c r="P224" s="3"/>
      <c r="Q224" s="3"/>
      <c r="R224" s="3"/>
      <c r="S224" s="3"/>
      <c r="T224" s="3"/>
    </row>
    <row r="225" ht="180.75" customHeight="1">
      <c r="A225" s="39" t="s">
        <v>363</v>
      </c>
      <c r="B225" s="40" t="s">
        <v>364</v>
      </c>
      <c r="C225" s="20">
        <v>30</v>
      </c>
      <c r="D225" s="20">
        <v>2027</v>
      </c>
      <c r="E225" s="90" t="s">
        <v>365</v>
      </c>
      <c r="F225" s="23" t="s">
        <v>366</v>
      </c>
      <c r="G225" s="171" t="s">
        <v>367</v>
      </c>
      <c r="H225" s="171" t="s">
        <v>367</v>
      </c>
      <c r="I225" s="188">
        <v>2027</v>
      </c>
      <c r="J225" s="173">
        <f t="shared" si="17"/>
        <v>11829.659100000001</v>
      </c>
      <c r="K225" s="204"/>
      <c r="L225" s="173">
        <v>11001.579100000001</v>
      </c>
      <c r="M225" s="173">
        <v>828.08000000000004</v>
      </c>
      <c r="N225" s="204"/>
      <c r="O225" s="14"/>
      <c r="P225" s="3"/>
      <c r="Q225" s="3"/>
      <c r="R225" s="3"/>
      <c r="S225" s="3"/>
      <c r="T225" s="3"/>
      <c r="U225" s="190"/>
    </row>
    <row r="226" ht="27" customHeight="1">
      <c r="A226" s="170" t="s">
        <v>368</v>
      </c>
      <c r="B226" s="41" t="s">
        <v>41</v>
      </c>
      <c r="C226" s="42"/>
      <c r="D226" s="42"/>
      <c r="E226" s="42"/>
      <c r="F226" s="42"/>
      <c r="G226" s="42"/>
      <c r="H226" s="43"/>
      <c r="I226" s="188"/>
      <c r="J226" s="204"/>
      <c r="K226" s="204"/>
      <c r="L226" s="204"/>
      <c r="M226" s="204"/>
      <c r="N226" s="204"/>
      <c r="O226" s="34"/>
      <c r="P226" s="3"/>
      <c r="Q226" s="3"/>
      <c r="R226" s="3"/>
      <c r="S226" s="3"/>
      <c r="T226" s="3"/>
    </row>
    <row r="227" ht="24" customHeight="1">
      <c r="A227" s="170" t="s">
        <v>369</v>
      </c>
      <c r="B227" s="41" t="s">
        <v>43</v>
      </c>
      <c r="C227" s="42"/>
      <c r="D227" s="42"/>
      <c r="E227" s="42"/>
      <c r="F227" s="42"/>
      <c r="G227" s="42"/>
      <c r="H227" s="43"/>
      <c r="I227" s="188">
        <v>2027</v>
      </c>
      <c r="J227" s="173">
        <f t="shared" si="17"/>
        <v>11829.659100000001</v>
      </c>
      <c r="K227" s="204"/>
      <c r="L227" s="173">
        <v>11001.579100000001</v>
      </c>
      <c r="M227" s="173">
        <v>828.08000000000004</v>
      </c>
      <c r="N227" s="204"/>
      <c r="O227" s="20"/>
      <c r="P227" s="3"/>
      <c r="Q227" s="3"/>
      <c r="R227" s="3"/>
      <c r="S227" s="3"/>
      <c r="T227" s="3"/>
    </row>
    <row r="228" ht="180.75" customHeight="1">
      <c r="A228" s="39" t="s">
        <v>370</v>
      </c>
      <c r="B228" s="40" t="s">
        <v>371</v>
      </c>
      <c r="C228" s="20">
        <v>50</v>
      </c>
      <c r="D228" s="20">
        <v>2027</v>
      </c>
      <c r="E228" s="90" t="s">
        <v>372</v>
      </c>
      <c r="F228" s="23" t="s">
        <v>373</v>
      </c>
      <c r="G228" s="171" t="s">
        <v>374</v>
      </c>
      <c r="H228" s="171" t="s">
        <v>374</v>
      </c>
      <c r="I228" s="188">
        <v>2027</v>
      </c>
      <c r="J228" s="173">
        <f t="shared" si="17"/>
        <v>64524.301599999999</v>
      </c>
      <c r="K228" s="204"/>
      <c r="L228" s="173">
        <v>59362.361599999997</v>
      </c>
      <c r="M228" s="173">
        <v>5161.9399999999996</v>
      </c>
      <c r="N228" s="204"/>
      <c r="O228" s="14"/>
      <c r="P228" s="3"/>
      <c r="Q228" s="3"/>
      <c r="R228" s="3"/>
      <c r="S228" s="3"/>
      <c r="T228" s="3"/>
      <c r="U228" s="190"/>
    </row>
    <row r="229" ht="27" customHeight="1">
      <c r="A229" s="170" t="s">
        <v>375</v>
      </c>
      <c r="B229" s="41" t="s">
        <v>41</v>
      </c>
      <c r="C229" s="42"/>
      <c r="D229" s="42"/>
      <c r="E229" s="42"/>
      <c r="F229" s="42"/>
      <c r="G229" s="42"/>
      <c r="H229" s="43"/>
      <c r="I229" s="206"/>
      <c r="J229" s="204"/>
      <c r="K229" s="204"/>
      <c r="L229" s="204"/>
      <c r="M229" s="204"/>
      <c r="N229" s="204"/>
      <c r="O229" s="34"/>
      <c r="P229" s="3"/>
      <c r="Q229" s="3"/>
      <c r="R229" s="3"/>
      <c r="S229" s="3"/>
      <c r="T229" s="3"/>
    </row>
    <row r="230" ht="24" customHeight="1">
      <c r="A230" s="170" t="s">
        <v>376</v>
      </c>
      <c r="B230" s="44" t="s">
        <v>43</v>
      </c>
      <c r="C230" s="45"/>
      <c r="D230" s="45"/>
      <c r="E230" s="45"/>
      <c r="F230" s="45"/>
      <c r="G230" s="45"/>
      <c r="H230" s="46"/>
      <c r="I230" s="188">
        <v>2027</v>
      </c>
      <c r="J230" s="173">
        <f t="shared" si="17"/>
        <v>64524.301599999999</v>
      </c>
      <c r="K230" s="204"/>
      <c r="L230" s="173">
        <v>59362.361599999997</v>
      </c>
      <c r="M230" s="173">
        <v>5161.9399999999996</v>
      </c>
      <c r="N230" s="204"/>
      <c r="O230" s="20"/>
      <c r="P230" s="3"/>
      <c r="Q230" s="3"/>
      <c r="R230" s="3"/>
      <c r="S230" s="3"/>
      <c r="T230" s="3"/>
    </row>
    <row r="231" s="1" customFormat="1" ht="180.75" customHeight="1">
      <c r="A231" s="196" t="s">
        <v>377</v>
      </c>
      <c r="B231" s="56" t="s">
        <v>378</v>
      </c>
      <c r="C231" s="57">
        <v>36</v>
      </c>
      <c r="D231" s="57" t="s">
        <v>114</v>
      </c>
      <c r="E231" s="56" t="s">
        <v>379</v>
      </c>
      <c r="F231" s="57" t="s">
        <v>380</v>
      </c>
      <c r="G231" s="194" t="s">
        <v>226</v>
      </c>
      <c r="H231" s="207" t="s">
        <v>381</v>
      </c>
      <c r="I231" s="195">
        <v>2026</v>
      </c>
      <c r="J231" s="173">
        <f t="shared" si="17"/>
        <v>48669.910000000003</v>
      </c>
      <c r="K231" s="204"/>
      <c r="L231" s="173">
        <v>46236.410000000003</v>
      </c>
      <c r="M231" s="173">
        <v>2433.5</v>
      </c>
      <c r="N231" s="204"/>
      <c r="O231" s="14"/>
      <c r="P231" s="3"/>
      <c r="Q231" s="3"/>
      <c r="R231" s="3"/>
      <c r="S231" s="3"/>
      <c r="T231" s="3"/>
      <c r="U231" s="190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s="1" customFormat="1" ht="27.75" customHeight="1">
      <c r="A232" s="197"/>
      <c r="B232" s="56"/>
      <c r="C232" s="57"/>
      <c r="D232" s="57"/>
      <c r="E232" s="56"/>
      <c r="F232" s="57"/>
      <c r="G232" s="194"/>
      <c r="H232" s="208"/>
      <c r="I232" s="195">
        <v>2027</v>
      </c>
      <c r="J232" s="173">
        <f t="shared" si="17"/>
        <v>51408.770000000004</v>
      </c>
      <c r="K232" s="204"/>
      <c r="L232" s="173">
        <v>48838.330000000002</v>
      </c>
      <c r="M232" s="173">
        <v>2570.4400000000001</v>
      </c>
      <c r="N232" s="204"/>
      <c r="O232" s="34"/>
      <c r="P232" s="3"/>
      <c r="Q232" s="3"/>
      <c r="R232" s="3"/>
      <c r="S232" s="3"/>
      <c r="T232" s="3"/>
      <c r="U232" s="190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s="1" customFormat="1" ht="30" customHeight="1">
      <c r="A233" s="170" t="s">
        <v>382</v>
      </c>
      <c r="B233" s="76" t="s">
        <v>41</v>
      </c>
      <c r="C233" s="77"/>
      <c r="D233" s="77"/>
      <c r="E233" s="77"/>
      <c r="F233" s="77"/>
      <c r="G233" s="77"/>
      <c r="H233" s="78"/>
      <c r="I233" s="206"/>
      <c r="J233" s="204"/>
      <c r="K233" s="204"/>
      <c r="L233" s="204"/>
      <c r="M233" s="204"/>
      <c r="N233" s="204"/>
      <c r="O233" s="34"/>
      <c r="P233" s="3"/>
      <c r="Q233" s="3"/>
      <c r="R233" s="3"/>
      <c r="S233" s="3"/>
      <c r="T233" s="3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s="1" customFormat="1" ht="30" customHeight="1">
      <c r="A234" s="25" t="s">
        <v>383</v>
      </c>
      <c r="B234" s="47" t="s">
        <v>43</v>
      </c>
      <c r="C234" s="48"/>
      <c r="D234" s="48"/>
      <c r="E234" s="48"/>
      <c r="F234" s="48"/>
      <c r="G234" s="48"/>
      <c r="H234" s="49"/>
      <c r="I234" s="188">
        <v>2026</v>
      </c>
      <c r="J234" s="173">
        <f t="shared" si="17"/>
        <v>48669.910000000003</v>
      </c>
      <c r="K234" s="174"/>
      <c r="L234" s="173">
        <v>46236.410000000003</v>
      </c>
      <c r="M234" s="173">
        <v>2433.5</v>
      </c>
      <c r="N234" s="204"/>
      <c r="O234" s="34"/>
      <c r="P234" s="3"/>
      <c r="Q234" s="3"/>
      <c r="R234" s="3"/>
      <c r="S234" s="3"/>
      <c r="T234" s="3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s="1" customFormat="1" ht="24" customHeight="1">
      <c r="A235" s="39"/>
      <c r="B235" s="76"/>
      <c r="C235" s="77"/>
      <c r="D235" s="77"/>
      <c r="E235" s="77"/>
      <c r="F235" s="77"/>
      <c r="G235" s="77"/>
      <c r="H235" s="78"/>
      <c r="I235" s="188">
        <v>2027</v>
      </c>
      <c r="J235" s="173">
        <f t="shared" si="17"/>
        <v>51408.770000000004</v>
      </c>
      <c r="K235" s="204"/>
      <c r="L235" s="173">
        <v>48838.330000000002</v>
      </c>
      <c r="M235" s="173">
        <v>2570.4400000000001</v>
      </c>
      <c r="N235" s="204"/>
      <c r="O235" s="20"/>
      <c r="P235" s="3"/>
      <c r="Q235" s="3"/>
      <c r="R235" s="3"/>
      <c r="S235" s="3"/>
      <c r="T235" s="3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ht="143.25" customHeight="1">
      <c r="A236" s="39" t="s">
        <v>384</v>
      </c>
      <c r="B236" s="40" t="s">
        <v>385</v>
      </c>
      <c r="C236" s="20">
        <v>35</v>
      </c>
      <c r="D236" s="20" t="s">
        <v>386</v>
      </c>
      <c r="E236" s="90" t="s">
        <v>387</v>
      </c>
      <c r="F236" s="23" t="s">
        <v>388</v>
      </c>
      <c r="G236" s="171" t="s">
        <v>389</v>
      </c>
      <c r="H236" s="205" t="s">
        <v>389</v>
      </c>
      <c r="I236" s="184">
        <v>2028</v>
      </c>
      <c r="J236" s="181">
        <f t="shared" si="17"/>
        <v>61534</v>
      </c>
      <c r="K236" s="209"/>
      <c r="L236" s="181">
        <v>56611.279999999999</v>
      </c>
      <c r="M236" s="181">
        <v>4922.7200000000003</v>
      </c>
      <c r="N236" s="209"/>
      <c r="O236" s="14"/>
      <c r="P236" s="3"/>
      <c r="Q236" s="3"/>
      <c r="R236" s="3"/>
      <c r="S236" s="3"/>
      <c r="T236" s="3"/>
      <c r="U236" s="190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  <c r="IV236" s="3"/>
      <c r="IW236" s="3"/>
    </row>
    <row r="237" ht="24" customHeight="1">
      <c r="A237" s="170" t="s">
        <v>390</v>
      </c>
      <c r="B237" s="41" t="s">
        <v>41</v>
      </c>
      <c r="C237" s="42"/>
      <c r="D237" s="42"/>
      <c r="E237" s="42"/>
      <c r="F237" s="42"/>
      <c r="G237" s="42"/>
      <c r="H237" s="42"/>
      <c r="I237" s="210"/>
      <c r="J237" s="211"/>
      <c r="K237" s="209"/>
      <c r="L237" s="211"/>
      <c r="M237" s="209"/>
      <c r="N237" s="211"/>
      <c r="O237" s="34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  <c r="IV237" s="3"/>
      <c r="IW237" s="3"/>
    </row>
    <row r="238" ht="24" customHeight="1">
      <c r="A238" s="170" t="s">
        <v>391</v>
      </c>
      <c r="B238" s="41" t="s">
        <v>43</v>
      </c>
      <c r="C238" s="42"/>
      <c r="D238" s="42"/>
      <c r="E238" s="42"/>
      <c r="F238" s="42"/>
      <c r="G238" s="42"/>
      <c r="H238" s="42"/>
      <c r="I238" s="212">
        <v>2028</v>
      </c>
      <c r="J238" s="213">
        <f t="shared" si="17"/>
        <v>61534</v>
      </c>
      <c r="K238" s="204"/>
      <c r="L238" s="173">
        <v>56611.279999999999</v>
      </c>
      <c r="M238" s="173">
        <v>4922.7200000000003</v>
      </c>
      <c r="N238" s="204"/>
      <c r="O238" s="20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  <c r="IV238" s="3"/>
      <c r="IW238" s="3"/>
    </row>
    <row r="239" s="1" customFormat="1" ht="111.75" customHeight="1">
      <c r="A239" s="39" t="s">
        <v>392</v>
      </c>
      <c r="B239" s="40" t="s">
        <v>393</v>
      </c>
      <c r="C239" s="20">
        <v>108</v>
      </c>
      <c r="D239" s="20">
        <v>2028</v>
      </c>
      <c r="E239" s="90" t="s">
        <v>394</v>
      </c>
      <c r="F239" s="23" t="s">
        <v>395</v>
      </c>
      <c r="G239" s="171" t="s">
        <v>241</v>
      </c>
      <c r="H239" s="156" t="s">
        <v>241</v>
      </c>
      <c r="I239" s="188">
        <v>2028</v>
      </c>
      <c r="J239" s="181">
        <f t="shared" si="17"/>
        <v>6824.7999999999993</v>
      </c>
      <c r="K239" s="209"/>
      <c r="L239" s="181">
        <v>6278.8199999999997</v>
      </c>
      <c r="M239" s="181">
        <v>545.98000000000002</v>
      </c>
      <c r="N239" s="209"/>
      <c r="O239" s="14"/>
      <c r="P239" s="3"/>
      <c r="Q239" s="3"/>
      <c r="R239" s="3"/>
      <c r="S239" s="3"/>
      <c r="T239" s="3"/>
      <c r="U239" s="190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  <c r="IV239" s="3"/>
      <c r="IW239" s="3"/>
    </row>
    <row r="240" s="1" customFormat="1" ht="24" customHeight="1">
      <c r="A240" s="170" t="s">
        <v>396</v>
      </c>
      <c r="B240" s="41" t="s">
        <v>41</v>
      </c>
      <c r="C240" s="42"/>
      <c r="D240" s="42"/>
      <c r="E240" s="42"/>
      <c r="F240" s="42"/>
      <c r="G240" s="42"/>
      <c r="H240" s="43"/>
      <c r="I240" s="214"/>
      <c r="J240" s="211"/>
      <c r="K240" s="209"/>
      <c r="L240" s="211"/>
      <c r="M240" s="209"/>
      <c r="N240" s="211"/>
      <c r="O240" s="34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  <c r="IV240" s="3"/>
      <c r="IW240" s="3"/>
    </row>
    <row r="241" s="1" customFormat="1" ht="24" customHeight="1">
      <c r="A241" s="170" t="s">
        <v>397</v>
      </c>
      <c r="B241" s="41" t="s">
        <v>43</v>
      </c>
      <c r="C241" s="42"/>
      <c r="D241" s="42"/>
      <c r="E241" s="42"/>
      <c r="F241" s="42"/>
      <c r="G241" s="42"/>
      <c r="H241" s="42"/>
      <c r="I241" s="212">
        <v>2028</v>
      </c>
      <c r="J241" s="213">
        <f t="shared" si="17"/>
        <v>6824.8099999999995</v>
      </c>
      <c r="K241" s="204"/>
      <c r="L241" s="173">
        <v>6278.8299999999999</v>
      </c>
      <c r="M241" s="173">
        <v>545.98000000000002</v>
      </c>
      <c r="N241" s="204"/>
      <c r="O241" s="20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  <c r="IV241" s="3"/>
      <c r="IW241" s="3"/>
    </row>
    <row r="242" s="1" customFormat="1" ht="107.25" customHeight="1">
      <c r="A242" s="39" t="s">
        <v>398</v>
      </c>
      <c r="B242" s="40" t="s">
        <v>399</v>
      </c>
      <c r="C242" s="20">
        <v>28</v>
      </c>
      <c r="D242" s="20">
        <v>2028</v>
      </c>
      <c r="E242" s="90" t="s">
        <v>400</v>
      </c>
      <c r="F242" s="23" t="s">
        <v>401</v>
      </c>
      <c r="G242" s="171" t="s">
        <v>402</v>
      </c>
      <c r="H242" s="205" t="s">
        <v>402</v>
      </c>
      <c r="I242" s="188">
        <v>2028</v>
      </c>
      <c r="J242" s="181">
        <f t="shared" si="17"/>
        <v>50234.800000000003</v>
      </c>
      <c r="K242" s="209"/>
      <c r="L242" s="173">
        <v>43201.93</v>
      </c>
      <c r="M242" s="173">
        <v>7032.8699999999999</v>
      </c>
      <c r="N242" s="204"/>
      <c r="O242" s="14"/>
      <c r="P242" s="3"/>
      <c r="Q242" s="3"/>
      <c r="R242" s="3"/>
      <c r="S242" s="3"/>
      <c r="T242" s="3"/>
      <c r="U242" s="190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s="1" customFormat="1" ht="24" customHeight="1">
      <c r="A243" s="170" t="s">
        <v>403</v>
      </c>
      <c r="B243" s="41" t="s">
        <v>41</v>
      </c>
      <c r="C243" s="42"/>
      <c r="D243" s="42"/>
      <c r="E243" s="42"/>
      <c r="F243" s="42"/>
      <c r="G243" s="42"/>
      <c r="H243" s="43"/>
      <c r="I243" s="214"/>
      <c r="J243" s="211"/>
      <c r="K243" s="215"/>
      <c r="L243" s="216"/>
      <c r="M243" s="216"/>
      <c r="N243" s="217"/>
      <c r="O243" s="218"/>
      <c r="P243" s="3"/>
      <c r="Q243" s="3"/>
      <c r="R243" s="3"/>
      <c r="S243" s="3"/>
      <c r="T243" s="3"/>
      <c r="U243" s="3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s="1" customFormat="1" ht="24" customHeight="1">
      <c r="A244" s="170" t="s">
        <v>404</v>
      </c>
      <c r="B244" s="41" t="s">
        <v>43</v>
      </c>
      <c r="C244" s="42"/>
      <c r="D244" s="42"/>
      <c r="E244" s="42"/>
      <c r="F244" s="42"/>
      <c r="G244" s="42"/>
      <c r="H244" s="42"/>
      <c r="I244" s="212">
        <v>2028</v>
      </c>
      <c r="J244" s="213">
        <f t="shared" si="17"/>
        <v>50234.800000000003</v>
      </c>
      <c r="K244" s="204"/>
      <c r="L244" s="219">
        <v>43201.93</v>
      </c>
      <c r="M244" s="220">
        <v>7032.8699999999999</v>
      </c>
      <c r="N244" s="221"/>
      <c r="O244" s="20"/>
      <c r="P244" s="3"/>
      <c r="Q244" s="3"/>
      <c r="R244" s="3"/>
      <c r="S244" s="3"/>
      <c r="T244" s="3"/>
      <c r="U244" s="3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s="1" customFormat="1" ht="81.75" customHeight="1">
      <c r="A245" s="39" t="s">
        <v>405</v>
      </c>
      <c r="B245" s="40" t="s">
        <v>406</v>
      </c>
      <c r="C245" s="20">
        <v>71</v>
      </c>
      <c r="D245" s="20" t="s">
        <v>386</v>
      </c>
      <c r="E245" s="90" t="s">
        <v>407</v>
      </c>
      <c r="F245" s="23" t="s">
        <v>408</v>
      </c>
      <c r="G245" s="171" t="s">
        <v>202</v>
      </c>
      <c r="H245" s="205" t="s">
        <v>202</v>
      </c>
      <c r="I245" s="188">
        <v>2028</v>
      </c>
      <c r="J245" s="181">
        <f t="shared" si="17"/>
        <v>87358</v>
      </c>
      <c r="K245" s="209"/>
      <c r="L245" s="181">
        <v>78622.199999999997</v>
      </c>
      <c r="M245" s="181">
        <v>8735.7999999999993</v>
      </c>
      <c r="N245" s="209"/>
      <c r="O245" s="14"/>
      <c r="P245" s="3"/>
      <c r="Q245" s="3"/>
      <c r="R245" s="3"/>
      <c r="S245" s="3"/>
      <c r="T245" s="3"/>
      <c r="U245" s="190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  <c r="IV245" s="3"/>
      <c r="IW245" s="3"/>
    </row>
    <row r="246" s="1" customFormat="1" ht="24" customHeight="1">
      <c r="A246" s="170" t="s">
        <v>409</v>
      </c>
      <c r="B246" s="41" t="s">
        <v>41</v>
      </c>
      <c r="C246" s="42"/>
      <c r="D246" s="42"/>
      <c r="E246" s="42"/>
      <c r="F246" s="42"/>
      <c r="G246" s="42"/>
      <c r="H246" s="43"/>
      <c r="I246" s="214"/>
      <c r="J246" s="211"/>
      <c r="K246" s="209"/>
      <c r="L246" s="211"/>
      <c r="M246" s="209"/>
      <c r="N246" s="211"/>
      <c r="O246" s="3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  <c r="IV246" s="3"/>
      <c r="IW246" s="3"/>
    </row>
    <row r="247" s="1" customFormat="1" ht="24" customHeight="1">
      <c r="A247" s="170" t="s">
        <v>410</v>
      </c>
      <c r="B247" s="41" t="s">
        <v>43</v>
      </c>
      <c r="C247" s="42"/>
      <c r="D247" s="42"/>
      <c r="E247" s="42"/>
      <c r="F247" s="42"/>
      <c r="G247" s="42"/>
      <c r="H247" s="42"/>
      <c r="I247" s="212">
        <v>2028</v>
      </c>
      <c r="J247" s="213">
        <f t="shared" si="17"/>
        <v>87358</v>
      </c>
      <c r="K247" s="204"/>
      <c r="L247" s="173">
        <v>78622.199999999997</v>
      </c>
      <c r="M247" s="173">
        <v>8735.7999999999993</v>
      </c>
      <c r="N247" s="204"/>
      <c r="O247" s="20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  <c r="IV247" s="3"/>
      <c r="IW247" s="3"/>
    </row>
    <row r="248" s="1" customFormat="1" ht="123" customHeight="1">
      <c r="A248" s="39" t="s">
        <v>411</v>
      </c>
      <c r="B248" s="40" t="s">
        <v>412</v>
      </c>
      <c r="C248" s="20">
        <v>10</v>
      </c>
      <c r="D248" s="20">
        <v>2028</v>
      </c>
      <c r="E248" s="90" t="s">
        <v>413</v>
      </c>
      <c r="F248" s="23" t="s">
        <v>414</v>
      </c>
      <c r="G248" s="171" t="s">
        <v>415</v>
      </c>
      <c r="H248" s="205" t="s">
        <v>415</v>
      </c>
      <c r="I248" s="188">
        <v>2028</v>
      </c>
      <c r="J248" s="181">
        <f t="shared" si="17"/>
        <v>7663.0100000000002</v>
      </c>
      <c r="K248" s="209"/>
      <c r="L248" s="181">
        <v>6973.3400000000001</v>
      </c>
      <c r="M248" s="181">
        <v>689.66999999999996</v>
      </c>
      <c r="N248" s="209"/>
      <c r="O248" s="14"/>
      <c r="P248" s="3"/>
      <c r="Q248" s="3"/>
      <c r="R248" s="3"/>
      <c r="S248" s="3"/>
      <c r="T248" s="3"/>
      <c r="U248" s="190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  <c r="IV248" s="3"/>
      <c r="IW248" s="3"/>
    </row>
    <row r="249" s="1" customFormat="1" ht="24" customHeight="1">
      <c r="A249" s="170" t="s">
        <v>416</v>
      </c>
      <c r="B249" s="41" t="s">
        <v>41</v>
      </c>
      <c r="C249" s="42"/>
      <c r="D249" s="42"/>
      <c r="E249" s="42"/>
      <c r="F249" s="42"/>
      <c r="G249" s="42"/>
      <c r="H249" s="43"/>
      <c r="I249" s="214"/>
      <c r="J249" s="211"/>
      <c r="K249" s="209"/>
      <c r="L249" s="211"/>
      <c r="M249" s="209"/>
      <c r="N249" s="211"/>
      <c r="O249" s="3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  <c r="IV249" s="3"/>
      <c r="IW249" s="3"/>
    </row>
    <row r="250" s="1" customFormat="1" ht="24" customHeight="1">
      <c r="A250" s="170" t="s">
        <v>417</v>
      </c>
      <c r="B250" s="41" t="s">
        <v>43</v>
      </c>
      <c r="C250" s="42"/>
      <c r="D250" s="42"/>
      <c r="E250" s="42"/>
      <c r="F250" s="42"/>
      <c r="G250" s="42"/>
      <c r="H250" s="42"/>
      <c r="I250" s="212">
        <v>2028</v>
      </c>
      <c r="J250" s="213">
        <f t="shared" si="17"/>
        <v>7663.0100000000002</v>
      </c>
      <c r="K250" s="204"/>
      <c r="L250" s="173">
        <v>6973.3400000000001</v>
      </c>
      <c r="M250" s="173">
        <v>689.66999999999996</v>
      </c>
      <c r="N250" s="204"/>
      <c r="O250" s="20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  <c r="IV250" s="3"/>
      <c r="IW250" s="3"/>
    </row>
    <row r="251" s="1" customFormat="1" ht="126.75" customHeight="1">
      <c r="A251" s="39" t="s">
        <v>418</v>
      </c>
      <c r="B251" s="40" t="s">
        <v>419</v>
      </c>
      <c r="C251" s="20">
        <v>48</v>
      </c>
      <c r="D251" s="20" t="s">
        <v>386</v>
      </c>
      <c r="E251" s="90" t="s">
        <v>420</v>
      </c>
      <c r="F251" s="23" t="s">
        <v>421</v>
      </c>
      <c r="G251" s="40" t="s">
        <v>422</v>
      </c>
      <c r="H251" s="40" t="s">
        <v>422</v>
      </c>
      <c r="I251" s="188">
        <v>2028</v>
      </c>
      <c r="J251" s="181">
        <f t="shared" si="17"/>
        <v>56967.010000000002</v>
      </c>
      <c r="K251" s="209"/>
      <c r="L251" s="181">
        <v>52409.650000000001</v>
      </c>
      <c r="M251" s="181">
        <v>4557.3599999999997</v>
      </c>
      <c r="N251" s="209"/>
      <c r="O251" s="14"/>
      <c r="P251" s="3"/>
      <c r="Q251" s="3"/>
      <c r="R251" s="3"/>
      <c r="S251" s="3"/>
      <c r="T251" s="3"/>
      <c r="U251" s="190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s="1" customFormat="1" ht="24" customHeight="1">
      <c r="A252" s="170" t="s">
        <v>423</v>
      </c>
      <c r="B252" s="41" t="s">
        <v>41</v>
      </c>
      <c r="C252" s="42"/>
      <c r="D252" s="42"/>
      <c r="E252" s="42"/>
      <c r="F252" s="42"/>
      <c r="G252" s="42"/>
      <c r="H252" s="43"/>
      <c r="I252" s="222"/>
      <c r="J252" s="211"/>
      <c r="K252" s="209"/>
      <c r="L252" s="219"/>
      <c r="M252" s="209"/>
      <c r="N252" s="211"/>
      <c r="O252" s="34"/>
      <c r="P252" s="3"/>
      <c r="Q252" s="3"/>
      <c r="R252" s="3"/>
      <c r="S252" s="3"/>
      <c r="T252" s="3"/>
      <c r="U252" s="3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s="1" customFormat="1" ht="24" customHeight="1">
      <c r="A253" s="170" t="s">
        <v>424</v>
      </c>
      <c r="B253" s="41" t="s">
        <v>43</v>
      </c>
      <c r="C253" s="42"/>
      <c r="D253" s="42"/>
      <c r="E253" s="42"/>
      <c r="F253" s="42"/>
      <c r="G253" s="42"/>
      <c r="H253" s="43"/>
      <c r="I253" s="223">
        <v>2028</v>
      </c>
      <c r="J253" s="173">
        <f t="shared" si="17"/>
        <v>56967.010000000002</v>
      </c>
      <c r="K253" s="204"/>
      <c r="L253" s="173">
        <v>52409.650000000001</v>
      </c>
      <c r="M253" s="173">
        <v>4557.3599999999997</v>
      </c>
      <c r="N253" s="204"/>
      <c r="O253" s="20"/>
      <c r="P253" s="3"/>
      <c r="Q253" s="3"/>
      <c r="R253" s="3"/>
      <c r="S253" s="3"/>
      <c r="T253" s="3"/>
      <c r="U253" s="3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s="137" customFormat="1" ht="28.5" customHeight="1">
      <c r="A254" s="224"/>
      <c r="B254" s="44" t="s">
        <v>425</v>
      </c>
      <c r="C254" s="45"/>
      <c r="D254" s="45"/>
      <c r="E254" s="45"/>
      <c r="F254" s="45"/>
      <c r="G254" s="45"/>
      <c r="H254" s="46"/>
      <c r="I254" s="172">
        <v>2022</v>
      </c>
      <c r="J254" s="183">
        <f t="shared" si="17"/>
        <v>172435.01191</v>
      </c>
      <c r="K254" s="183"/>
      <c r="L254" s="183">
        <f>SUM(L108,L117)</f>
        <v>156915.86084000001</v>
      </c>
      <c r="M254" s="183">
        <f>SUM(M108,M117)</f>
        <v>15519.15107</v>
      </c>
      <c r="N254" s="183"/>
      <c r="O254" s="140"/>
      <c r="P254" s="137"/>
      <c r="Q254" s="137"/>
      <c r="R254" s="137"/>
      <c r="S254" s="137"/>
      <c r="T254" s="137"/>
    </row>
    <row r="255" ht="24" customHeight="1">
      <c r="A255" s="225"/>
      <c r="B255" s="47"/>
      <c r="C255" s="48"/>
      <c r="D255" s="48"/>
      <c r="E255" s="48"/>
      <c r="F255" s="48"/>
      <c r="G255" s="48"/>
      <c r="H255" s="49"/>
      <c r="I255" s="172">
        <v>2023</v>
      </c>
      <c r="J255" s="181">
        <f t="shared" ref="J255:J256" si="18">SUM(K255:M255)</f>
        <v>220685.47574999998</v>
      </c>
      <c r="K255" s="181"/>
      <c r="L255" s="181">
        <f>SUM(L109,L118,L126)</f>
        <v>198718.54999999999</v>
      </c>
      <c r="M255" s="181">
        <f>SUM(M109,M118,M126)</f>
        <v>21966.925749999999</v>
      </c>
      <c r="N255" s="183"/>
      <c r="O255" s="126"/>
      <c r="P255" s="3"/>
      <c r="Q255" s="3"/>
      <c r="R255" s="3"/>
      <c r="S255" s="3"/>
      <c r="T255" s="3"/>
      <c r="U255" s="3"/>
    </row>
    <row r="256" ht="24" customHeight="1">
      <c r="A256" s="225"/>
      <c r="B256" s="47"/>
      <c r="C256" s="48"/>
      <c r="D256" s="48"/>
      <c r="E256" s="48"/>
      <c r="F256" s="48"/>
      <c r="G256" s="48"/>
      <c r="H256" s="49"/>
      <c r="I256" s="172">
        <v>2024</v>
      </c>
      <c r="J256" s="181">
        <f t="shared" si="18"/>
        <v>469435.38685000001</v>
      </c>
      <c r="K256" s="181"/>
      <c r="L256" s="181">
        <f>SUM(L110,L119,L127,L133,L138,L148,L153)</f>
        <v>416918.64685000002</v>
      </c>
      <c r="M256" s="181">
        <f>SUM(M110,M119,M127,M133,M138,M148,M153)</f>
        <v>52516.739999999998</v>
      </c>
      <c r="N256" s="183"/>
      <c r="O256" s="126"/>
      <c r="P256" s="3"/>
      <c r="Q256" s="3"/>
      <c r="R256" s="3"/>
      <c r="S256" s="3"/>
      <c r="T256" s="3"/>
    </row>
    <row r="257" ht="22.899999999999999" customHeight="1">
      <c r="A257" s="225"/>
      <c r="B257" s="47"/>
      <c r="C257" s="48"/>
      <c r="D257" s="48"/>
      <c r="E257" s="48"/>
      <c r="F257" s="48"/>
      <c r="G257" s="48"/>
      <c r="H257" s="49"/>
      <c r="I257" s="172">
        <v>2025</v>
      </c>
      <c r="J257" s="181">
        <f>SUM(L257:M257)</f>
        <v>780888.05784999998</v>
      </c>
      <c r="K257" s="181"/>
      <c r="L257" s="181">
        <f>SUM(L111,L120,L128,L134,L139,L145,L149,L154,L160,L163,L166,L169,L172,L175,L178,L181)</f>
        <v>691713.66099999996</v>
      </c>
      <c r="M257" s="181">
        <f>SUM(M111,M120,M128,M134,M139,M145,M149,M154,M160,M163,M166,M169,M172,M175,M178,M181)</f>
        <v>89174.396849999961</v>
      </c>
      <c r="N257" s="183"/>
      <c r="O257" s="226"/>
      <c r="P257" s="226">
        <f>SUM(M111,M120,M128,M134,M139,M145,M149,M154,M160,M163,M166,M169,M172,M175,M178,M181)</f>
        <v>89174.396849999961</v>
      </c>
      <c r="Q257" s="226">
        <f>SUM(N111,N120,N128,N134,N139,N145,N149,N154,N160,N163,N166,N169,N172,N175,N178,N181)</f>
        <v>0</v>
      </c>
      <c r="R257" s="226">
        <f>SUM(O111,O120,O128,O134,O139,O145,O149,O154,O160,O163,O166,O169,O172,O175,O178,O181)</f>
        <v>219785.94999999995</v>
      </c>
      <c r="S257" s="226">
        <f>SUM(P111,P120,P128,P134,P139,P145,P149,P154,P160,P163,P166,P169,P172,P175,P178,P181)</f>
        <v>0</v>
      </c>
      <c r="T257" s="226">
        <f>SUM(Q111,Q120,Q128,Q134,Q139,Q145,Q149,Q154,Q160,Q163,Q166,Q169,Q172,Q175,Q178,Q181)</f>
        <v>0</v>
      </c>
      <c r="U257" s="226"/>
    </row>
    <row r="258" ht="24" customHeight="1">
      <c r="A258" s="225"/>
      <c r="B258" s="47"/>
      <c r="C258" s="48"/>
      <c r="D258" s="48"/>
      <c r="E258" s="48"/>
      <c r="F258" s="48"/>
      <c r="G258" s="48"/>
      <c r="H258" s="49"/>
      <c r="I258" s="172">
        <v>2026</v>
      </c>
      <c r="J258" s="227">
        <f t="shared" ref="J258:J263" si="19">SUM(K258:N258)</f>
        <v>384594.63760000007</v>
      </c>
      <c r="K258" s="181">
        <f>K196</f>
        <v>13995.4</v>
      </c>
      <c r="L258" s="227">
        <f>SUM(L184,L187,L190,L193,L196,L199,L202,L205,L208,L213,L216,L231,A1,L140,L155)</f>
        <v>334038.90760000004</v>
      </c>
      <c r="M258" s="227">
        <f>SUM(M184,M187,M190,M193,M196,M199,M202,M205,M208,M213,M216,M231,B1,M140,M155)</f>
        <v>36560.330000000002</v>
      </c>
      <c r="N258" s="183"/>
      <c r="O258" s="126"/>
      <c r="P258" s="3"/>
      <c r="Q258" s="3"/>
      <c r="R258" s="3"/>
      <c r="S258" s="3"/>
      <c r="T258" s="3"/>
    </row>
    <row r="259" ht="24" customHeight="1">
      <c r="A259" s="225"/>
      <c r="B259" s="47"/>
      <c r="C259" s="48"/>
      <c r="D259" s="48"/>
      <c r="E259" s="48"/>
      <c r="F259" s="48"/>
      <c r="G259" s="48"/>
      <c r="H259" s="49"/>
      <c r="I259" s="172">
        <v>2027</v>
      </c>
      <c r="J259" s="181">
        <f t="shared" si="19"/>
        <v>269780.9375</v>
      </c>
      <c r="K259" s="181"/>
      <c r="L259" s="181">
        <f>SUM(A1,L209,L219,L222,L225,L228,L232)</f>
        <v>247112.38750000001</v>
      </c>
      <c r="M259" s="181">
        <f>SUM(B1,M209,M219,M222,M225,M228,M232)</f>
        <v>22668.549999999999</v>
      </c>
      <c r="N259" s="183"/>
      <c r="O259" s="126"/>
      <c r="P259" s="3"/>
      <c r="Q259" s="3"/>
      <c r="R259" s="3"/>
      <c r="S259" s="3"/>
      <c r="T259" s="3"/>
    </row>
    <row r="260" ht="24" customHeight="1">
      <c r="A260" s="225"/>
      <c r="B260" s="47"/>
      <c r="C260" s="48"/>
      <c r="D260" s="48"/>
      <c r="E260" s="48"/>
      <c r="F260" s="48"/>
      <c r="G260" s="48"/>
      <c r="H260" s="49"/>
      <c r="I260" s="172">
        <v>2028</v>
      </c>
      <c r="J260" s="181">
        <f t="shared" si="19"/>
        <v>270581.62</v>
      </c>
      <c r="K260" s="181"/>
      <c r="L260" s="181">
        <f>SUM(A1,L236,L239,L242,L245,L248,L251)</f>
        <v>244097.21999999997</v>
      </c>
      <c r="M260" s="181">
        <f>SUM(B1,M236,M239,M242,M245,M248,M251)</f>
        <v>26484.399999999998</v>
      </c>
      <c r="N260" s="183"/>
      <c r="O260" s="126"/>
      <c r="P260" s="3"/>
      <c r="Q260" s="3"/>
      <c r="R260" s="3"/>
      <c r="S260" s="3"/>
      <c r="T260" s="3"/>
    </row>
    <row r="261" ht="24" customHeight="1">
      <c r="A261" s="225"/>
      <c r="B261" s="47"/>
      <c r="C261" s="48"/>
      <c r="D261" s="48"/>
      <c r="E261" s="48"/>
      <c r="F261" s="48"/>
      <c r="G261" s="48"/>
      <c r="H261" s="49"/>
      <c r="I261" s="172">
        <v>2029</v>
      </c>
      <c r="J261" s="181">
        <f t="shared" si="19"/>
        <v>274124.82000000001</v>
      </c>
      <c r="K261" s="181"/>
      <c r="L261" s="181">
        <v>244097.22</v>
      </c>
      <c r="M261" s="181">
        <v>30027.599999999999</v>
      </c>
      <c r="N261" s="183"/>
      <c r="O261" s="126"/>
      <c r="P261" s="3"/>
      <c r="Q261" s="3"/>
      <c r="R261" s="3"/>
      <c r="S261" s="3"/>
      <c r="T261" s="3"/>
    </row>
    <row r="262" ht="24" customHeight="1">
      <c r="A262" s="228"/>
      <c r="B262" s="76"/>
      <c r="C262" s="77"/>
      <c r="D262" s="77"/>
      <c r="E262" s="77"/>
      <c r="F262" s="77"/>
      <c r="G262" s="77"/>
      <c r="H262" s="78"/>
      <c r="I262" s="172">
        <v>2030</v>
      </c>
      <c r="J262" s="181">
        <f t="shared" si="19"/>
        <v>274124.82000000001</v>
      </c>
      <c r="K262" s="181"/>
      <c r="L262" s="181">
        <v>244097.22</v>
      </c>
      <c r="M262" s="181">
        <v>30027.599999999999</v>
      </c>
      <c r="N262" s="183"/>
      <c r="O262" s="126"/>
      <c r="P262" s="3"/>
      <c r="Q262" s="3"/>
      <c r="R262" s="3"/>
      <c r="S262" s="3"/>
      <c r="T262" s="3"/>
    </row>
    <row r="263" ht="42" customHeight="1">
      <c r="A263" s="229"/>
      <c r="B263" s="44" t="s">
        <v>426</v>
      </c>
      <c r="C263" s="45"/>
      <c r="D263" s="45"/>
      <c r="E263" s="45"/>
      <c r="F263" s="45"/>
      <c r="G263" s="45"/>
      <c r="H263" s="46"/>
      <c r="I263" s="23" t="s">
        <v>427</v>
      </c>
      <c r="J263" s="227">
        <f t="shared" si="19"/>
        <v>3116650.7674600002</v>
      </c>
      <c r="K263" s="28">
        <f>SUM(K258:K262)</f>
        <v>13995.4</v>
      </c>
      <c r="L263" s="96">
        <f>SUM(L254:L262)</f>
        <v>2777709.6737900004</v>
      </c>
      <c r="M263" s="96">
        <f>SUM(M254:M262)</f>
        <v>324945.69366999995</v>
      </c>
      <c r="N263" s="183"/>
      <c r="O263" s="126"/>
      <c r="P263" s="3"/>
      <c r="Q263" s="3"/>
      <c r="R263" s="3"/>
      <c r="S263" s="3"/>
      <c r="T263" s="3"/>
    </row>
    <row r="264" s="3" customFormat="1" ht="18.75" customHeight="1">
      <c r="A264" s="14"/>
      <c r="B264" s="44" t="s">
        <v>428</v>
      </c>
      <c r="C264" s="45"/>
      <c r="D264" s="45"/>
      <c r="E264" s="45"/>
      <c r="F264" s="45"/>
      <c r="G264" s="45"/>
      <c r="H264" s="46"/>
      <c r="I264" s="230">
        <v>2022</v>
      </c>
      <c r="J264" s="231">
        <f t="shared" ref="J264:J266" si="20">SUM(J81,J103,J254)</f>
        <v>776151.39191000001</v>
      </c>
      <c r="K264" s="231"/>
      <c r="L264" s="231">
        <f t="shared" ref="L264:L266" si="21">SUM(L81,L103,L254)</f>
        <v>618396.45083999995</v>
      </c>
      <c r="M264" s="231">
        <f t="shared" ref="M264:M266" si="22">SUM(M81,M103,M254)</f>
        <v>157754.94107</v>
      </c>
      <c r="N264" s="231"/>
      <c r="O264" s="232"/>
    </row>
    <row r="265" s="3" customFormat="1" ht="18.75" customHeight="1">
      <c r="A265" s="34"/>
      <c r="B265" s="47"/>
      <c r="C265" s="48"/>
      <c r="D265" s="48"/>
      <c r="E265" s="48"/>
      <c r="F265" s="48"/>
      <c r="G265" s="48"/>
      <c r="H265" s="49"/>
      <c r="I265" s="230">
        <v>2023</v>
      </c>
      <c r="J265" s="231">
        <f t="shared" si="20"/>
        <v>825276.07275999989</v>
      </c>
      <c r="K265" s="231"/>
      <c r="L265" s="231">
        <f t="shared" si="21"/>
        <v>752280.8370099999</v>
      </c>
      <c r="M265" s="231">
        <f t="shared" si="22"/>
        <v>72995.235749999993</v>
      </c>
      <c r="N265" s="231"/>
      <c r="O265" s="232"/>
    </row>
    <row r="266" s="3" customFormat="1" ht="18.75" customHeight="1">
      <c r="A266" s="34"/>
      <c r="B266" s="47"/>
      <c r="C266" s="48"/>
      <c r="D266" s="48"/>
      <c r="E266" s="48"/>
      <c r="F266" s="48"/>
      <c r="G266" s="48"/>
      <c r="H266" s="49"/>
      <c r="I266" s="230">
        <v>2024</v>
      </c>
      <c r="J266" s="231">
        <f t="shared" si="20"/>
        <v>2028639.6081543476</v>
      </c>
      <c r="K266" s="231"/>
      <c r="L266" s="226">
        <f t="shared" si="21"/>
        <v>1732488.3368500001</v>
      </c>
      <c r="M266" s="231">
        <f t="shared" si="22"/>
        <v>296151.27130434784</v>
      </c>
      <c r="N266" s="231"/>
      <c r="O266" s="232"/>
    </row>
    <row r="267" s="3" customFormat="1" ht="18.75" customHeight="1">
      <c r="A267" s="34"/>
      <c r="B267" s="47"/>
      <c r="C267" s="48"/>
      <c r="D267" s="48"/>
      <c r="E267" s="48"/>
      <c r="F267" s="48"/>
      <c r="G267" s="48"/>
      <c r="H267" s="49"/>
      <c r="I267" s="230">
        <v>2025</v>
      </c>
      <c r="J267" s="231">
        <f t="shared" ref="J267:J272" si="23">SUM(K267:M267)</f>
        <v>2447718.7376199998</v>
      </c>
      <c r="K267" s="231"/>
      <c r="L267" s="231">
        <f t="shared" ref="L267:L272" si="24">SUM(L84,L257)</f>
        <v>2212153.6222999999</v>
      </c>
      <c r="M267" s="231">
        <f t="shared" ref="M267:M272" si="25">SUM(M84,M257)</f>
        <v>235565.11531999995</v>
      </c>
      <c r="N267" s="231"/>
      <c r="O267" s="232"/>
    </row>
    <row r="268" s="3" customFormat="1">
      <c r="A268" s="34"/>
      <c r="B268" s="47"/>
      <c r="C268" s="48"/>
      <c r="D268" s="48"/>
      <c r="E268" s="48"/>
      <c r="F268" s="48"/>
      <c r="G268" s="48"/>
      <c r="H268" s="49"/>
      <c r="I268" s="230">
        <v>2026</v>
      </c>
      <c r="J268" s="233">
        <f t="shared" si="23"/>
        <v>1309187.2236000001</v>
      </c>
      <c r="K268" s="231">
        <f>SUM(K85,K258)</f>
        <v>205407.60000000001</v>
      </c>
      <c r="L268" s="233">
        <f t="shared" si="24"/>
        <v>990056.35060000012</v>
      </c>
      <c r="M268" s="233">
        <f t="shared" si="25"/>
        <v>113723.273</v>
      </c>
      <c r="N268" s="231"/>
      <c r="O268" s="232"/>
    </row>
    <row r="269" s="3" customFormat="1" ht="25.5" customHeight="1">
      <c r="A269" s="34"/>
      <c r="B269" s="47"/>
      <c r="C269" s="48"/>
      <c r="D269" s="48"/>
      <c r="E269" s="48"/>
      <c r="F269" s="48"/>
      <c r="G269" s="48"/>
      <c r="H269" s="49"/>
      <c r="I269" s="230">
        <v>2027</v>
      </c>
      <c r="J269" s="231">
        <f t="shared" si="23"/>
        <v>283851.15750000003</v>
      </c>
      <c r="K269" s="231"/>
      <c r="L269" s="231">
        <f t="shared" si="24"/>
        <v>260056.98750000002</v>
      </c>
      <c r="M269" s="231">
        <f t="shared" si="25"/>
        <v>23794.169999999998</v>
      </c>
      <c r="N269" s="231"/>
      <c r="O269" s="232"/>
    </row>
    <row r="270" s="3" customFormat="1" ht="25.5" customHeight="1">
      <c r="A270" s="34"/>
      <c r="B270" s="47"/>
      <c r="C270" s="48"/>
      <c r="D270" s="48"/>
      <c r="E270" s="48"/>
      <c r="F270" s="48"/>
      <c r="G270" s="48"/>
      <c r="H270" s="49"/>
      <c r="I270" s="230">
        <v>2028</v>
      </c>
      <c r="J270" s="231">
        <f t="shared" si="23"/>
        <v>270581.62</v>
      </c>
      <c r="K270" s="231"/>
      <c r="L270" s="231">
        <f t="shared" si="24"/>
        <v>244097.21999999997</v>
      </c>
      <c r="M270" s="231">
        <f t="shared" si="25"/>
        <v>26484.399999999998</v>
      </c>
      <c r="N270" s="231"/>
      <c r="O270" s="232"/>
    </row>
    <row r="271" s="3" customFormat="1" ht="25.5" customHeight="1">
      <c r="A271" s="34"/>
      <c r="B271" s="47"/>
      <c r="C271" s="48"/>
      <c r="D271" s="48"/>
      <c r="E271" s="48"/>
      <c r="F271" s="48"/>
      <c r="G271" s="48"/>
      <c r="H271" s="49"/>
      <c r="I271" s="230">
        <v>2029</v>
      </c>
      <c r="J271" s="231">
        <f t="shared" si="23"/>
        <v>892124.81999999995</v>
      </c>
      <c r="K271" s="231"/>
      <c r="L271" s="231">
        <f t="shared" si="24"/>
        <v>794097.21999999997</v>
      </c>
      <c r="M271" s="231">
        <f t="shared" si="25"/>
        <v>98027.600000000006</v>
      </c>
      <c r="N271" s="231"/>
      <c r="O271" s="232"/>
    </row>
    <row r="272" s="3" customFormat="1" ht="25.5" customHeight="1">
      <c r="A272" s="20"/>
      <c r="B272" s="76"/>
      <c r="C272" s="77"/>
      <c r="D272" s="77"/>
      <c r="E272" s="77"/>
      <c r="F272" s="77"/>
      <c r="G272" s="77"/>
      <c r="H272" s="78"/>
      <c r="I272" s="230">
        <v>2030</v>
      </c>
      <c r="J272" s="231">
        <f t="shared" si="23"/>
        <v>892124.81999999995</v>
      </c>
      <c r="K272" s="231"/>
      <c r="L272" s="231">
        <f t="shared" si="24"/>
        <v>794097.21999999997</v>
      </c>
      <c r="M272" s="231">
        <f t="shared" si="25"/>
        <v>98027.600000000006</v>
      </c>
      <c r="N272" s="231"/>
      <c r="O272" s="232"/>
    </row>
    <row r="273" s="3" customFormat="1" ht="38.25" customHeight="1">
      <c r="A273" s="23"/>
      <c r="B273" s="76" t="s">
        <v>429</v>
      </c>
      <c r="C273" s="77"/>
      <c r="D273" s="77"/>
      <c r="E273" s="77"/>
      <c r="F273" s="77"/>
      <c r="G273" s="77"/>
      <c r="H273" s="78"/>
      <c r="I273" s="234" t="s">
        <v>430</v>
      </c>
      <c r="J273" s="233">
        <f>SUM(J264:J272)</f>
        <v>9725655.4515443482</v>
      </c>
      <c r="K273" s="231">
        <f>SUM(K264:K272)</f>
        <v>205407.60000000001</v>
      </c>
      <c r="L273" s="233">
        <f>SUM(L264:L272)</f>
        <v>8397724.245099999</v>
      </c>
      <c r="M273" s="233">
        <f>SUM(M264:M272)</f>
        <v>1122523.6064443479</v>
      </c>
      <c r="N273" s="231"/>
      <c r="O273" s="232"/>
    </row>
    <row r="274" s="3" customFormat="1" ht="19.5" customHeight="1">
      <c r="A274" s="133"/>
      <c r="B274" s="235"/>
      <c r="C274" s="133"/>
      <c r="D274" s="236"/>
      <c r="E274" s="48"/>
      <c r="F274" s="48"/>
      <c r="G274" s="48"/>
      <c r="H274" s="48"/>
      <c r="I274" s="236"/>
      <c r="J274" s="237"/>
      <c r="K274" s="237"/>
      <c r="L274" s="237"/>
      <c r="M274" s="237"/>
      <c r="N274" s="238"/>
      <c r="O274" s="235"/>
    </row>
    <row r="275" ht="24.399999999999999" customHeight="1">
      <c r="A275" s="236"/>
      <c r="B275" s="48"/>
      <c r="C275" s="48"/>
      <c r="D275" s="48"/>
      <c r="E275" s="48"/>
      <c r="F275" s="48"/>
      <c r="G275" s="48"/>
      <c r="H275" s="48"/>
      <c r="I275" s="239"/>
      <c r="J275" s="240"/>
      <c r="K275" s="240"/>
      <c r="L275" s="240"/>
      <c r="M275" s="240"/>
      <c r="N275" s="235"/>
      <c r="O275" s="235"/>
      <c r="P275" s="3"/>
      <c r="Q275" s="3"/>
      <c r="R275" s="3"/>
      <c r="S275" s="3"/>
      <c r="T275" s="3"/>
    </row>
    <row r="276" ht="18.75">
      <c r="G276" s="3"/>
      <c r="J276" s="241"/>
      <c r="K276" s="241"/>
      <c r="L276" s="241"/>
      <c r="M276" s="241"/>
    </row>
    <row r="277" ht="18.75">
      <c r="H277" s="3"/>
      <c r="J277" s="241"/>
      <c r="K277" s="241"/>
      <c r="L277" s="241"/>
      <c r="M277" s="241"/>
    </row>
    <row r="278" ht="18.75">
      <c r="H278" s="3"/>
      <c r="J278" s="241"/>
      <c r="K278" s="241"/>
      <c r="L278" s="241"/>
      <c r="M278" s="241"/>
    </row>
    <row r="279" ht="18.75">
      <c r="J279" s="241"/>
      <c r="K279" s="241"/>
      <c r="L279" s="241"/>
      <c r="M279" s="241"/>
    </row>
    <row r="280" ht="18.75">
      <c r="H280" s="3"/>
      <c r="J280" s="241"/>
      <c r="K280" s="241"/>
      <c r="L280" s="241"/>
      <c r="M280" s="241"/>
    </row>
    <row r="281" ht="18.75">
      <c r="J281" s="241"/>
      <c r="K281" s="241"/>
      <c r="L281" s="241"/>
      <c r="M281" s="241"/>
    </row>
    <row r="282" ht="18.75">
      <c r="E282" s="5"/>
      <c r="J282" s="241"/>
      <c r="K282" s="241"/>
      <c r="L282" s="241"/>
      <c r="M282" s="241"/>
    </row>
    <row r="283" ht="18.75">
      <c r="J283" s="241"/>
      <c r="K283" s="241"/>
      <c r="L283" s="241"/>
      <c r="M283" s="241"/>
    </row>
    <row r="284" ht="18.75">
      <c r="J284" s="241"/>
      <c r="K284" s="241"/>
      <c r="L284" s="241"/>
      <c r="M284" s="241"/>
    </row>
    <row r="285" ht="18.75">
      <c r="J285" s="241"/>
      <c r="K285" s="241"/>
      <c r="L285" s="241"/>
      <c r="M285" s="241"/>
    </row>
    <row r="286" ht="18.75">
      <c r="J286" s="241"/>
      <c r="K286" s="241"/>
      <c r="L286" s="241"/>
      <c r="M286" s="241"/>
    </row>
    <row r="287" ht="18.75">
      <c r="J287" s="241"/>
      <c r="K287" s="241"/>
      <c r="L287" s="241"/>
      <c r="M287" s="241"/>
    </row>
  </sheetData>
  <mergeCells count="356">
    <mergeCell ref="A8:O8"/>
    <mergeCell ref="A9:O9"/>
    <mergeCell ref="A10:O10"/>
    <mergeCell ref="A12:A13"/>
    <mergeCell ref="B12:B13"/>
    <mergeCell ref="C12:C13"/>
    <mergeCell ref="D12:D13"/>
    <mergeCell ref="E12:E13"/>
    <mergeCell ref="F12:F13"/>
    <mergeCell ref="G12:G13"/>
    <mergeCell ref="I12:I13"/>
    <mergeCell ref="J12:N12"/>
    <mergeCell ref="O12:O13"/>
    <mergeCell ref="A15:O15"/>
    <mergeCell ref="A16:A19"/>
    <mergeCell ref="B16:B19"/>
    <mergeCell ref="C16:C19"/>
    <mergeCell ref="D16:D19"/>
    <mergeCell ref="E16:E19"/>
    <mergeCell ref="F16:F19"/>
    <mergeCell ref="G16:G19"/>
    <mergeCell ref="H16:H19"/>
    <mergeCell ref="O16:O24"/>
    <mergeCell ref="B20:H20"/>
    <mergeCell ref="A21:A24"/>
    <mergeCell ref="B21:H24"/>
    <mergeCell ref="A25:A29"/>
    <mergeCell ref="B25:B29"/>
    <mergeCell ref="C25:C29"/>
    <mergeCell ref="D25:D29"/>
    <mergeCell ref="E25:E29"/>
    <mergeCell ref="F25:F29"/>
    <mergeCell ref="G25:G29"/>
    <mergeCell ref="H25:H29"/>
    <mergeCell ref="O25:O35"/>
    <mergeCell ref="B30:H30"/>
    <mergeCell ref="A31:A35"/>
    <mergeCell ref="B31:H35"/>
    <mergeCell ref="A36:A39"/>
    <mergeCell ref="B36:B39"/>
    <mergeCell ref="C36:C39"/>
    <mergeCell ref="D36:D39"/>
    <mergeCell ref="E36:E39"/>
    <mergeCell ref="F36:F39"/>
    <mergeCell ref="G36:G39"/>
    <mergeCell ref="H36:H39"/>
    <mergeCell ref="O36:O44"/>
    <mergeCell ref="A40:A41"/>
    <mergeCell ref="B40:H41"/>
    <mergeCell ref="A42:A44"/>
    <mergeCell ref="B42:H44"/>
    <mergeCell ref="A45:A47"/>
    <mergeCell ref="B45:B47"/>
    <mergeCell ref="C45:C47"/>
    <mergeCell ref="D45:D47"/>
    <mergeCell ref="E45:E47"/>
    <mergeCell ref="F45:F47"/>
    <mergeCell ref="G45:G47"/>
    <mergeCell ref="H45:H47"/>
    <mergeCell ref="O45:O51"/>
    <mergeCell ref="B48:H48"/>
    <mergeCell ref="A49:A50"/>
    <mergeCell ref="B49:H50"/>
    <mergeCell ref="A52:A53"/>
    <mergeCell ref="B52:B53"/>
    <mergeCell ref="C52:C53"/>
    <mergeCell ref="D52:D53"/>
    <mergeCell ref="E52:E53"/>
    <mergeCell ref="F52:F53"/>
    <mergeCell ref="G52:G53"/>
    <mergeCell ref="H52:H53"/>
    <mergeCell ref="O52:O56"/>
    <mergeCell ref="B54:H54"/>
    <mergeCell ref="A55:A56"/>
    <mergeCell ref="B55:H56"/>
    <mergeCell ref="A57:A59"/>
    <mergeCell ref="B57:B59"/>
    <mergeCell ref="C57:C59"/>
    <mergeCell ref="D57:D59"/>
    <mergeCell ref="E57:E59"/>
    <mergeCell ref="F57:F59"/>
    <mergeCell ref="G57:G59"/>
    <mergeCell ref="H57:H59"/>
    <mergeCell ref="O57:O63"/>
    <mergeCell ref="B60:H60"/>
    <mergeCell ref="A61:A63"/>
    <mergeCell ref="A64:A65"/>
    <mergeCell ref="B64:B65"/>
    <mergeCell ref="C64:C65"/>
    <mergeCell ref="D64:D65"/>
    <mergeCell ref="E64:E65"/>
    <mergeCell ref="F64:F65"/>
    <mergeCell ref="G64:G65"/>
    <mergeCell ref="H64:H65"/>
    <mergeCell ref="O64:O68"/>
    <mergeCell ref="B66:H66"/>
    <mergeCell ref="A67:A68"/>
    <mergeCell ref="B67:H68"/>
    <mergeCell ref="A69:A72"/>
    <mergeCell ref="B69:B72"/>
    <mergeCell ref="C69:C72"/>
    <mergeCell ref="D69:D72"/>
    <mergeCell ref="E69:E72"/>
    <mergeCell ref="F69:F72"/>
    <mergeCell ref="G69:G72"/>
    <mergeCell ref="H69:H72"/>
    <mergeCell ref="O69:O72"/>
    <mergeCell ref="I70:I72"/>
    <mergeCell ref="J70:J72"/>
    <mergeCell ref="K70:K72"/>
    <mergeCell ref="L70:L72"/>
    <mergeCell ref="M70:M72"/>
    <mergeCell ref="N70:N72"/>
    <mergeCell ref="O73:O75"/>
    <mergeCell ref="B74:H74"/>
    <mergeCell ref="O76:O78"/>
    <mergeCell ref="B77:H77"/>
    <mergeCell ref="A79:A80"/>
    <mergeCell ref="B79:H80"/>
    <mergeCell ref="A81:A89"/>
    <mergeCell ref="B81:H89"/>
    <mergeCell ref="B90:H90"/>
    <mergeCell ref="A91:O91"/>
    <mergeCell ref="A92:A95"/>
    <mergeCell ref="B92:B95"/>
    <mergeCell ref="C92:C95"/>
    <mergeCell ref="D92:D95"/>
    <mergeCell ref="E92:E95"/>
    <mergeCell ref="F92:F95"/>
    <mergeCell ref="G92:G95"/>
    <mergeCell ref="H92:H95"/>
    <mergeCell ref="O92:O95"/>
    <mergeCell ref="I93:I95"/>
    <mergeCell ref="J93:J95"/>
    <mergeCell ref="K93:K95"/>
    <mergeCell ref="L93:L95"/>
    <mergeCell ref="M93:M95"/>
    <mergeCell ref="N93:N95"/>
    <mergeCell ref="A96:A98"/>
    <mergeCell ref="B96:B98"/>
    <mergeCell ref="C96:C98"/>
    <mergeCell ref="D96:D98"/>
    <mergeCell ref="E96:E98"/>
    <mergeCell ref="F96:F98"/>
    <mergeCell ref="G96:G98"/>
    <mergeCell ref="H96:H98"/>
    <mergeCell ref="O96:O102"/>
    <mergeCell ref="B99:H99"/>
    <mergeCell ref="A100:A102"/>
    <mergeCell ref="B100:H102"/>
    <mergeCell ref="A103:A105"/>
    <mergeCell ref="B103:H105"/>
    <mergeCell ref="B106:H106"/>
    <mergeCell ref="A107:O107"/>
    <mergeCell ref="A108:A111"/>
    <mergeCell ref="B108:B111"/>
    <mergeCell ref="C108:C111"/>
    <mergeCell ref="D108:D111"/>
    <mergeCell ref="E108:E111"/>
    <mergeCell ref="F108:F111"/>
    <mergeCell ref="G108:G111"/>
    <mergeCell ref="H108:H111"/>
    <mergeCell ref="O108:O116"/>
    <mergeCell ref="B112:H112"/>
    <mergeCell ref="A113:A116"/>
    <mergeCell ref="B113:H116"/>
    <mergeCell ref="A117:A120"/>
    <mergeCell ref="B117:B120"/>
    <mergeCell ref="C117:C120"/>
    <mergeCell ref="D117:D120"/>
    <mergeCell ref="E117:E120"/>
    <mergeCell ref="F117:F120"/>
    <mergeCell ref="G117:G120"/>
    <mergeCell ref="H117:H120"/>
    <mergeCell ref="O117:O125"/>
    <mergeCell ref="B121:H121"/>
    <mergeCell ref="A122:A125"/>
    <mergeCell ref="B122:H125"/>
    <mergeCell ref="A126:A128"/>
    <mergeCell ref="B126:B128"/>
    <mergeCell ref="C126:C128"/>
    <mergeCell ref="D126:D128"/>
    <mergeCell ref="E126:E128"/>
    <mergeCell ref="F126:F128"/>
    <mergeCell ref="G126:G128"/>
    <mergeCell ref="H126:H128"/>
    <mergeCell ref="O126:O132"/>
    <mergeCell ref="B129:H129"/>
    <mergeCell ref="A130:A132"/>
    <mergeCell ref="B130:H132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O133:O137"/>
    <mergeCell ref="B135:H135"/>
    <mergeCell ref="A136:A137"/>
    <mergeCell ref="B136:H137"/>
    <mergeCell ref="B138:B140"/>
    <mergeCell ref="C138:C140"/>
    <mergeCell ref="D138:D140"/>
    <mergeCell ref="E138:E140"/>
    <mergeCell ref="F138:F140"/>
    <mergeCell ref="G138:G140"/>
    <mergeCell ref="H138:H140"/>
    <mergeCell ref="O138:O144"/>
    <mergeCell ref="A139:A140"/>
    <mergeCell ref="B141:H141"/>
    <mergeCell ref="A142:A144"/>
    <mergeCell ref="B142:H144"/>
    <mergeCell ref="O145:O147"/>
    <mergeCell ref="B146:H146"/>
    <mergeCell ref="B147:H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O148:O152"/>
    <mergeCell ref="B150:H150"/>
    <mergeCell ref="A151:A152"/>
    <mergeCell ref="B151:H152"/>
    <mergeCell ref="A153:A155"/>
    <mergeCell ref="B153:B155"/>
    <mergeCell ref="C153:C155"/>
    <mergeCell ref="D153:D155"/>
    <mergeCell ref="E153:E155"/>
    <mergeCell ref="F153:F155"/>
    <mergeCell ref="G153:G155"/>
    <mergeCell ref="H153:H155"/>
    <mergeCell ref="O153:O159"/>
    <mergeCell ref="B156:H156"/>
    <mergeCell ref="A157:A159"/>
    <mergeCell ref="B157:H159"/>
    <mergeCell ref="O160:O162"/>
    <mergeCell ref="B161:H161"/>
    <mergeCell ref="B162:H162"/>
    <mergeCell ref="O163:O165"/>
    <mergeCell ref="B164:H164"/>
    <mergeCell ref="B165:H165"/>
    <mergeCell ref="O166:O168"/>
    <mergeCell ref="B167:H167"/>
    <mergeCell ref="B168:H168"/>
    <mergeCell ref="O169:O171"/>
    <mergeCell ref="B170:H170"/>
    <mergeCell ref="B171:H171"/>
    <mergeCell ref="O172:O174"/>
    <mergeCell ref="B173:H173"/>
    <mergeCell ref="B174:H174"/>
    <mergeCell ref="O175:O177"/>
    <mergeCell ref="B176:H176"/>
    <mergeCell ref="B177:H177"/>
    <mergeCell ref="O178:O180"/>
    <mergeCell ref="B179:H179"/>
    <mergeCell ref="B180:H180"/>
    <mergeCell ref="O181:O183"/>
    <mergeCell ref="B182:H182"/>
    <mergeCell ref="B183:H183"/>
    <mergeCell ref="O184:O186"/>
    <mergeCell ref="B185:H185"/>
    <mergeCell ref="B186:H186"/>
    <mergeCell ref="O187:O189"/>
    <mergeCell ref="B188:H188"/>
    <mergeCell ref="B189:H189"/>
    <mergeCell ref="O190:O192"/>
    <mergeCell ref="B191:H191"/>
    <mergeCell ref="B192:H192"/>
    <mergeCell ref="O193:O195"/>
    <mergeCell ref="B194:H194"/>
    <mergeCell ref="B195:H195"/>
    <mergeCell ref="O196:O198"/>
    <mergeCell ref="B197:H197"/>
    <mergeCell ref="B198:H198"/>
    <mergeCell ref="O199:O201"/>
    <mergeCell ref="B200:H200"/>
    <mergeCell ref="B201:H201"/>
    <mergeCell ref="O202:O204"/>
    <mergeCell ref="B203:H203"/>
    <mergeCell ref="B204:H204"/>
    <mergeCell ref="O205:O207"/>
    <mergeCell ref="B206:H206"/>
    <mergeCell ref="B207:H207"/>
    <mergeCell ref="A208:A209"/>
    <mergeCell ref="B208:B209"/>
    <mergeCell ref="C208:C209"/>
    <mergeCell ref="D208:D209"/>
    <mergeCell ref="E208:E209"/>
    <mergeCell ref="F208:F209"/>
    <mergeCell ref="G208:G209"/>
    <mergeCell ref="H208:H209"/>
    <mergeCell ref="O208:O211"/>
    <mergeCell ref="B210:H210"/>
    <mergeCell ref="A211:A212"/>
    <mergeCell ref="B211:H212"/>
    <mergeCell ref="O213:O215"/>
    <mergeCell ref="B214:H214"/>
    <mergeCell ref="B215:H215"/>
    <mergeCell ref="O216:O218"/>
    <mergeCell ref="B217:H217"/>
    <mergeCell ref="B218:H218"/>
    <mergeCell ref="O219:O221"/>
    <mergeCell ref="B220:H220"/>
    <mergeCell ref="B221:H221"/>
    <mergeCell ref="O222:O224"/>
    <mergeCell ref="B223:H223"/>
    <mergeCell ref="B224:H224"/>
    <mergeCell ref="O225:O227"/>
    <mergeCell ref="B226:H226"/>
    <mergeCell ref="B227:H227"/>
    <mergeCell ref="O228:O230"/>
    <mergeCell ref="B229:H229"/>
    <mergeCell ref="B230:H230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O231:O235"/>
    <mergeCell ref="B233:H233"/>
    <mergeCell ref="A234:A235"/>
    <mergeCell ref="B234:H235"/>
    <mergeCell ref="O236:O238"/>
    <mergeCell ref="B237:H237"/>
    <mergeCell ref="B238:H238"/>
    <mergeCell ref="O239:O241"/>
    <mergeCell ref="B240:H240"/>
    <mergeCell ref="B241:H241"/>
    <mergeCell ref="O242:O244"/>
    <mergeCell ref="B243:H243"/>
    <mergeCell ref="B244:H244"/>
    <mergeCell ref="O245:O247"/>
    <mergeCell ref="B246:H246"/>
    <mergeCell ref="B247:H247"/>
    <mergeCell ref="O248:O250"/>
    <mergeCell ref="B249:H249"/>
    <mergeCell ref="B250:H250"/>
    <mergeCell ref="O251:O253"/>
    <mergeCell ref="B252:H252"/>
    <mergeCell ref="B253:H253"/>
    <mergeCell ref="A254:A262"/>
    <mergeCell ref="B254:H262"/>
    <mergeCell ref="B263:H263"/>
    <mergeCell ref="A264:A272"/>
    <mergeCell ref="B264:H272"/>
    <mergeCell ref="B273:H273"/>
    <mergeCell ref="B275:D275"/>
  </mergeCells>
  <hyperlinks>
    <hyperlink r:id="rId1" ref="B213"/>
  </hyperlinks>
  <printOptions headings="0" gridLines="0"/>
  <pageMargins left="0.23622000000000001" right="0.23622000000000001" top="0.94488199999999978" bottom="0.35433099999999995" header="0.31496099999999999" footer="0.31496099999999999"/>
  <pageSetup paperSize="9" scale="1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&amp;C&amp;P&amp;R206005/206005-2018-2739(1)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uv_burdukovskaya</cp:lastModifiedBy>
  <cp:revision>22</cp:revision>
  <dcterms:created xsi:type="dcterms:W3CDTF">2015-08-27T11:54:00Z</dcterms:created>
  <dcterms:modified xsi:type="dcterms:W3CDTF">2026-04-20T08:17:01Z</dcterms:modified>
  <cp:version>917504</cp:version>
</cp:coreProperties>
</file>