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2020" sheetId="1" r:id="rId1"/>
  </sheets>
  <definedNames>
    <definedName name="BossProviderVariable?_4734b16a_f4df_41a6_99f8_bba26a0bdebf" hidden="1">"25_01_2006"</definedName>
    <definedName name="_xlnm.Print_Area" localSheetId="0">'2020'!$A$1:$P$247</definedName>
  </definedNames>
  <calcPr calcId="145621" iterateDelta="1E-4"/>
</workbook>
</file>

<file path=xl/calcChain.xml><?xml version="1.0" encoding="utf-8"?>
<calcChain xmlns="http://schemas.openxmlformats.org/spreadsheetml/2006/main">
  <c r="L217" i="1" l="1"/>
  <c r="L220" i="1" l="1"/>
  <c r="J211" i="1"/>
  <c r="J210" i="1"/>
  <c r="M209" i="1"/>
  <c r="M219" i="1" s="1"/>
  <c r="L209" i="1"/>
  <c r="J209" i="1" s="1"/>
  <c r="M208" i="1"/>
  <c r="L208" i="1"/>
  <c r="J208" i="1"/>
  <c r="M207" i="1"/>
  <c r="L207" i="1"/>
  <c r="J207" i="1" s="1"/>
  <c r="K207" i="1"/>
  <c r="K212" i="1" s="1"/>
  <c r="T206" i="1"/>
  <c r="S206" i="1"/>
  <c r="R206" i="1"/>
  <c r="Q206" i="1"/>
  <c r="P206" i="1"/>
  <c r="M205" i="1"/>
  <c r="L205" i="1"/>
  <c r="J205" i="1" s="1"/>
  <c r="M203" i="1"/>
  <c r="M212" i="1" s="1"/>
  <c r="L203" i="1"/>
  <c r="J203" i="1" s="1"/>
  <c r="J202" i="1"/>
  <c r="J200" i="1"/>
  <c r="J199" i="1"/>
  <c r="J197" i="1"/>
  <c r="J196" i="1"/>
  <c r="J194" i="1"/>
  <c r="J193" i="1"/>
  <c r="J191" i="1"/>
  <c r="J190" i="1"/>
  <c r="J188" i="1"/>
  <c r="J187" i="1"/>
  <c r="J185" i="1"/>
  <c r="J184" i="1"/>
  <c r="J183" i="1"/>
  <c r="J181" i="1"/>
  <c r="J180" i="1"/>
  <c r="J179" i="1"/>
  <c r="J177" i="1"/>
  <c r="J176" i="1"/>
  <c r="J174" i="1"/>
  <c r="J173" i="1"/>
  <c r="J171" i="1"/>
  <c r="J170" i="1"/>
  <c r="J168" i="1"/>
  <c r="J167" i="1"/>
  <c r="J165" i="1"/>
  <c r="J164" i="1"/>
  <c r="J162" i="1"/>
  <c r="J161" i="1"/>
  <c r="J160" i="1"/>
  <c r="J158" i="1"/>
  <c r="J157" i="1"/>
  <c r="J156" i="1"/>
  <c r="J154" i="1"/>
  <c r="J153" i="1"/>
  <c r="J151" i="1"/>
  <c r="J150" i="1"/>
  <c r="J148" i="1"/>
  <c r="J147" i="1"/>
  <c r="J145" i="1"/>
  <c r="J144" i="1"/>
  <c r="J142" i="1"/>
  <c r="J141" i="1"/>
  <c r="J139" i="1"/>
  <c r="J138" i="1"/>
  <c r="J136" i="1"/>
  <c r="J135" i="1"/>
  <c r="J133" i="1"/>
  <c r="J132" i="1"/>
  <c r="J131" i="1"/>
  <c r="J130" i="1"/>
  <c r="L128" i="1"/>
  <c r="J128" i="1"/>
  <c r="J127" i="1"/>
  <c r="O126" i="1"/>
  <c r="J126" i="1"/>
  <c r="J125" i="1"/>
  <c r="J124" i="1"/>
  <c r="J123" i="1"/>
  <c r="J121" i="1"/>
  <c r="M120" i="1"/>
  <c r="M206" i="1" s="1"/>
  <c r="M216" i="1" s="1"/>
  <c r="L120" i="1"/>
  <c r="L206" i="1" s="1"/>
  <c r="J120" i="1"/>
  <c r="U119" i="1"/>
  <c r="O119" i="1"/>
  <c r="J119" i="1"/>
  <c r="J118" i="1"/>
  <c r="J117" i="1"/>
  <c r="U117" i="1" s="1"/>
  <c r="J116" i="1"/>
  <c r="J115" i="1"/>
  <c r="L113" i="1"/>
  <c r="J113" i="1"/>
  <c r="J112" i="1"/>
  <c r="J111" i="1"/>
  <c r="O110" i="1"/>
  <c r="J110" i="1"/>
  <c r="J109" i="1"/>
  <c r="J108" i="1"/>
  <c r="J107" i="1"/>
  <c r="M106" i="1"/>
  <c r="L106" i="1"/>
  <c r="J106" i="1"/>
  <c r="L104" i="1"/>
  <c r="J104" i="1"/>
  <c r="J103" i="1"/>
  <c r="M102" i="1"/>
  <c r="M204" i="1" s="1"/>
  <c r="M214" i="1" s="1"/>
  <c r="L102" i="1"/>
  <c r="L204" i="1" s="1"/>
  <c r="J204" i="1" s="1"/>
  <c r="J102" i="1"/>
  <c r="O101" i="1"/>
  <c r="M101" i="1"/>
  <c r="L101" i="1"/>
  <c r="J101" i="1"/>
  <c r="M99" i="1"/>
  <c r="L99" i="1"/>
  <c r="K99" i="1"/>
  <c r="L98" i="1"/>
  <c r="J98" i="1"/>
  <c r="L97" i="1"/>
  <c r="J97" i="1"/>
  <c r="J99" i="1" s="1"/>
  <c r="J94" i="1"/>
  <c r="O93" i="1"/>
  <c r="L93" i="1"/>
  <c r="J93" i="1"/>
  <c r="M90" i="1"/>
  <c r="M221" i="1" s="1"/>
  <c r="L90" i="1"/>
  <c r="L221" i="1" s="1"/>
  <c r="J221" i="1" s="1"/>
  <c r="J90" i="1"/>
  <c r="M89" i="1"/>
  <c r="M220" i="1" s="1"/>
  <c r="J220" i="1" s="1"/>
  <c r="L89" i="1"/>
  <c r="J88" i="1"/>
  <c r="M87" i="1"/>
  <c r="M218" i="1" s="1"/>
  <c r="L87" i="1"/>
  <c r="L218" i="1" s="1"/>
  <c r="J218" i="1" s="1"/>
  <c r="J87" i="1"/>
  <c r="M86" i="1"/>
  <c r="M217" i="1" s="1"/>
  <c r="L86" i="1"/>
  <c r="K86" i="1"/>
  <c r="K217" i="1" s="1"/>
  <c r="J86" i="1"/>
  <c r="J85" i="1"/>
  <c r="M83" i="1"/>
  <c r="M82" i="1"/>
  <c r="J81" i="1"/>
  <c r="J80" i="1"/>
  <c r="J79" i="1"/>
  <c r="J77" i="1"/>
  <c r="J74" i="1"/>
  <c r="J73" i="1"/>
  <c r="J72" i="1"/>
  <c r="J71" i="1"/>
  <c r="J69" i="1"/>
  <c r="J68" i="1"/>
  <c r="J67" i="1"/>
  <c r="J66" i="1"/>
  <c r="J65" i="1"/>
  <c r="J63" i="1"/>
  <c r="J62" i="1"/>
  <c r="V62" i="1" s="1"/>
  <c r="O61" i="1"/>
  <c r="J61" i="1"/>
  <c r="J60" i="1"/>
  <c r="J59" i="1"/>
  <c r="J57" i="1"/>
  <c r="O56" i="1"/>
  <c r="J56" i="1"/>
  <c r="J55" i="1"/>
  <c r="J54" i="1"/>
  <c r="J53" i="1"/>
  <c r="J51" i="1"/>
  <c r="J50" i="1"/>
  <c r="O49" i="1"/>
  <c r="L49" i="1"/>
  <c r="J49" i="1"/>
  <c r="J48" i="1"/>
  <c r="J47" i="1"/>
  <c r="J46" i="1"/>
  <c r="J45" i="1"/>
  <c r="J44" i="1"/>
  <c r="J43" i="1"/>
  <c r="J42" i="1"/>
  <c r="L41" i="1"/>
  <c r="J41" i="1"/>
  <c r="O40" i="1"/>
  <c r="J40" i="1"/>
  <c r="J39" i="1"/>
  <c r="J38" i="1"/>
  <c r="J37" i="1"/>
  <c r="J36" i="1"/>
  <c r="M35" i="1"/>
  <c r="L35" i="1"/>
  <c r="J35" i="1"/>
  <c r="J33" i="1"/>
  <c r="J32" i="1"/>
  <c r="M31" i="1"/>
  <c r="J31" i="1" s="1"/>
  <c r="L31" i="1"/>
  <c r="J30" i="1"/>
  <c r="O29" i="1"/>
  <c r="M29" i="1"/>
  <c r="L29" i="1"/>
  <c r="L82" i="1" s="1"/>
  <c r="J28" i="1"/>
  <c r="J27" i="1"/>
  <c r="J26" i="1"/>
  <c r="L25" i="1"/>
  <c r="J24" i="1"/>
  <c r="J23" i="1"/>
  <c r="J21" i="1"/>
  <c r="J20" i="1"/>
  <c r="J19" i="1"/>
  <c r="L18" i="1"/>
  <c r="L84" i="1" s="1"/>
  <c r="J18" i="1"/>
  <c r="M18" i="1" s="1"/>
  <c r="L17" i="1"/>
  <c r="L83" i="1" s="1"/>
  <c r="J17" i="1"/>
  <c r="O16" i="1"/>
  <c r="J16" i="1"/>
  <c r="J25" i="1" l="1"/>
  <c r="L215" i="1"/>
  <c r="J206" i="1"/>
  <c r="L216" i="1"/>
  <c r="J216" i="1" s="1"/>
  <c r="J83" i="1"/>
  <c r="J214" i="1" s="1"/>
  <c r="L214" i="1"/>
  <c r="L213" i="1"/>
  <c r="J82" i="1"/>
  <c r="L91" i="1"/>
  <c r="J217" i="1"/>
  <c r="K222" i="1"/>
  <c r="M84" i="1"/>
  <c r="M215" i="1" s="1"/>
  <c r="M25" i="1"/>
  <c r="J89" i="1"/>
  <c r="M213" i="1"/>
  <c r="L219" i="1"/>
  <c r="J219" i="1" s="1"/>
  <c r="L212" i="1"/>
  <c r="J212" i="1" s="1"/>
  <c r="J29" i="1"/>
  <c r="K91" i="1"/>
  <c r="M222" i="1" l="1"/>
  <c r="J213" i="1"/>
  <c r="L222" i="1"/>
  <c r="M91" i="1"/>
  <c r="J84" i="1"/>
  <c r="J215" i="1" s="1"/>
  <c r="J91" i="1" l="1"/>
  <c r="J222" i="1"/>
</calcChain>
</file>

<file path=xl/sharedStrings.xml><?xml version="1.0" encoding="utf-8"?>
<sst xmlns="http://schemas.openxmlformats.org/spreadsheetml/2006/main" count="475" uniqueCount="323">
  <si>
    <t>УТВЕРЖДЕН</t>
  </si>
  <si>
    <t>постановлением Правительства</t>
  </si>
  <si>
    <t>Ленинградской области</t>
  </si>
  <si>
    <t>от 27.11.2015 № 444</t>
  </si>
  <si>
    <t>(в редакции постановления Правительства</t>
  </si>
  <si>
    <t>Ленинградской области от "__"_____ №_____)</t>
  </si>
  <si>
    <t>(приложение 1 )</t>
  </si>
  <si>
    <t>ПЕРЕЧЕНЬ</t>
  </si>
  <si>
    <t xml:space="preserve">объектов государственной программы Ленинградской области </t>
  </si>
  <si>
    <t>"Развитие физической культуры и спорта в Ленинградской области"</t>
  </si>
  <si>
    <t xml:space="preserve"> 
 </t>
  </si>
  <si>
    <t>№                п/п</t>
  </si>
  <si>
    <t>Наименование объекта и местонахождение объекта</t>
  </si>
  <si>
    <t xml:space="preserve"> Проектная мощность</t>
  </si>
  <si>
    <t>Сроки реализации</t>
  </si>
  <si>
    <t xml:space="preserve"> Информация                  о состоянии проектно-сметной документации</t>
  </si>
  <si>
    <t>Утвержденная и (или) прогнозируемая сметная стоимость объекта</t>
  </si>
  <si>
    <t>Бюджетополучатель</t>
  </si>
  <si>
    <t>Заказчик</t>
  </si>
  <si>
    <t>Финансовый год</t>
  </si>
  <si>
    <t>Плановый объем финансирования (тыс. рублей)</t>
  </si>
  <si>
    <t>Фактические расходы на создание объекта (нарастающим итогом) по состоянию на 01.01.2026</t>
  </si>
  <si>
    <t>всего</t>
  </si>
  <si>
    <t>федеральный бюджет</t>
  </si>
  <si>
    <t>областной бюджет</t>
  </si>
  <si>
    <t>местный бюджет</t>
  </si>
  <si>
    <t>прочие источники</t>
  </si>
  <si>
    <t>1. Отраслевой проект «Развитие объектов физической культуры и спорта», федеральный проект «Развитие физической культуры и массового спорта»</t>
  </si>
  <si>
    <t>1.1</t>
  </si>
  <si>
    <t xml:space="preserve">"Биатлонно- лыжный комплекс 
в пос. Шапки Тосненского района" (1 этап строительства)
по адресу: Ленинградская область, Тосненский район, 
пос. Шапки
</t>
  </si>
  <si>
    <t>2020-               2027</t>
  </si>
  <si>
    <t xml:space="preserve">№ 47-1-1-3-0091-18 
от 26 марта 
2018 года   (по проекту)                    № 47-1-0046-18 от 26 марта 
2018 года 
(по смете)                № 47-1-1-3-053854-2024
от 13 сентября 
2024 года 
(по проекту, инженерным изысканиям, смете)
</t>
  </si>
  <si>
    <t xml:space="preserve">199375,50 
(в ценах
2017, 2022, 2023 годов,
в том числе ПИР – 3381,36)
</t>
  </si>
  <si>
    <t xml:space="preserve">Тосненское городское поселение Тосненского 
муниципального
района
</t>
  </si>
  <si>
    <t xml:space="preserve">Администрация муниципального образования Тосненский 
район Ленинградской области
</t>
  </si>
  <si>
    <t>2022</t>
  </si>
  <si>
    <t>2023</t>
  </si>
  <si>
    <t>2024</t>
  </si>
  <si>
    <t>2025</t>
  </si>
  <si>
    <t>24465,17625-Ю</t>
  </si>
  <si>
    <t>2026</t>
  </si>
  <si>
    <t>2027</t>
  </si>
  <si>
    <t>1.1.1</t>
  </si>
  <si>
    <t>ПИР</t>
  </si>
  <si>
    <t>1.1.2</t>
  </si>
  <si>
    <t>СМР</t>
  </si>
  <si>
    <t>1.2</t>
  </si>
  <si>
    <t xml:space="preserve">Физкультурно-оздоровительный комплекс 
с 25-метровым плавательным бассейном 
и универсальным игровым залом 
в г.п. Виллози Ломоносовского муниципального района Ленинградской области
</t>
  </si>
  <si>
    <t>2019-              2026</t>
  </si>
  <si>
    <t>№ 47-1-1-2-038757-2024 от 17 июля
2024 года
(по смете),
№ 0043-2021 от 12 мая
2021 года (по проекту),
заключение экспертизы по результатам экспертного сопровождения от 25 января 2021 года
                                                            №47-1-1-2-077240-2024 от 18 декабря 2024 года                                                                №47-1-1-2-035419-2025  от 25 июня 2025 года</t>
  </si>
  <si>
    <t xml:space="preserve">756733,07 (в ценах 2018, 2020- 2021 и 2024-2025 годов, в том числе ПИР-6313,55)                                                           </t>
  </si>
  <si>
    <t>Виллозское городское поселение Ломоносовского муниципального района</t>
  </si>
  <si>
    <t>Администрация Виллозского городского поселения Ломоносовского муниципального района</t>
  </si>
  <si>
    <t>1.2.1</t>
  </si>
  <si>
    <t>1.2.2</t>
  </si>
  <si>
    <t>1.3</t>
  </si>
  <si>
    <t xml:space="preserve">Физкультурно-оздоровительный комплекс 
с плавательным бассейном 
в г. Шлиссельбург, 
ул. Леманский канал, уч. 6 (в том числе проектные работы)
</t>
  </si>
  <si>
    <t>2023-           2026</t>
  </si>
  <si>
    <t>№ 47-1-1-3-053993-2024                от 13 сентября 2024 года</t>
  </si>
  <si>
    <t xml:space="preserve">595815,38 (в ценах 2024 года, в том числе ПИР – 14209,26)
</t>
  </si>
  <si>
    <t xml:space="preserve"> Кировский муниципальный район, ГКУ "Управление строительства Ленинградской области"</t>
  </si>
  <si>
    <t>Муниципальное казенное учреждение "Управление капитального строительства" Кировского муниципального района  Ленинградской области, ГКУ "Управление строительства Ленинградской области"</t>
  </si>
  <si>
    <t>1.3.1</t>
  </si>
  <si>
    <t>1.3.2</t>
  </si>
  <si>
    <t>1.4</t>
  </si>
  <si>
    <t xml:space="preserve">Реконструкция стадиона «Нефтяник», расположенного по адресу: Ленинградская область, г. Кириши, ул. Строителей, д.5 </t>
  </si>
  <si>
    <t>2024-         2026</t>
  </si>
  <si>
    <t>№47-1-1-3-065147-2020 от 18 декабря 2020 года                             №47-11-2-029502-2025 от 29 мая 2025 года, №47-1-1-2-052403-2025 от 4 сентября 2025 года</t>
  </si>
  <si>
    <t>611 211, 12929 (в ценах 2025 года)</t>
  </si>
  <si>
    <t xml:space="preserve">Киришское городское поселение Киришского муниципального района </t>
  </si>
  <si>
    <t>Муниципальное казенное учреждение "Управление проектно- строительных работ муниципального образования Киришское городское поселение Киришского муниципального района Ленинградской области"</t>
  </si>
  <si>
    <t>1.4.1</t>
  </si>
  <si>
    <t>1.4.2</t>
  </si>
  <si>
    <t>1.5</t>
  </si>
  <si>
    <t xml:space="preserve">Физкультурно-оздоровительный комплекс с универсальным игровым залом по адресу: Ленинградская область,
Всеволожский муниципальный район, Дубровское городское поселение, городское поселение Дубровка, ул. Школьная
</t>
  </si>
  <si>
    <t>2024-                      2025</t>
  </si>
  <si>
    <t xml:space="preserve"> № 47-1-1-3-065059-2023 от 27 октября 2023 года</t>
  </si>
  <si>
    <t>264 116,97 (в ценах 2022года, в том числе ПИР- 3 174,41)</t>
  </si>
  <si>
    <t>Дубровское городское поселение Всеволожского муниципального района</t>
  </si>
  <si>
    <t>1.5.1</t>
  </si>
  <si>
    <t>1.5.2</t>
  </si>
  <si>
    <t>1.6</t>
  </si>
  <si>
    <t>Строительство стадиона с футбольным полем с искусственным покрытием
по адресу: Ленинградская область, Подпорожский муниципальный район, Подпорожское городское поселение,
г. Подпорожье, ул. Парковая, участок №15</t>
  </si>
  <si>
    <t>2024-                      2026</t>
  </si>
  <si>
    <t>№ 47-1-1-2-047784-2020 от 28 сентября 2020 года</t>
  </si>
  <si>
    <t>132720,12 (в ценах 2020года, в том числе ПИР- 1934,46)</t>
  </si>
  <si>
    <t>Подпорожский муниципальный район</t>
  </si>
  <si>
    <t>1.6.1</t>
  </si>
  <si>
    <t>1.6.2</t>
  </si>
  <si>
    <t>1.7</t>
  </si>
  <si>
    <t xml:space="preserve">Физкультурно-оздоровительный комплекс с универсальным игровым залом по адресу: Ленинградская область, г. Лодейное поле, ул. Гагарина, уч. 1а, в т.ч. оплата договоров на технологическое присоединение  </t>
  </si>
  <si>
    <t>2026-     2027</t>
  </si>
  <si>
    <t>№47-1-1-3-031610-2025 от 6 июня 2025 года</t>
  </si>
  <si>
    <t>269663,83 (в ценах 2024 года, в том числе ПИР-4792,29)</t>
  </si>
  <si>
    <t xml:space="preserve">Лодейнопольское городское поселение Лодейнопольского муниципального района </t>
  </si>
  <si>
    <t>1.7.1</t>
  </si>
  <si>
    <t>1.7.2</t>
  </si>
  <si>
    <t>1.8.</t>
  </si>
  <si>
    <t xml:space="preserve">Создание (строительство) и эксплуатация объекта спорта –плавательного бассейна 
в г. Сертолово    
в рамках концессионного соглашения
</t>
  </si>
  <si>
    <t>2019-     2026</t>
  </si>
  <si>
    <t xml:space="preserve">№ 47-1-1-3-031643-2019 
от 14 ноября 2019 года
(по проекту), 
№ 47-1-0211-19 
от 14 ноября 2019 года, 
№ 47-1-1-2-081729-2022 
от 22 ноября 2022 года
(по смете) 
</t>
  </si>
  <si>
    <t xml:space="preserve">1008204,95
(в ценах
2022 года)
</t>
  </si>
  <si>
    <t>ООО                           "Бассейны "Атлантика"</t>
  </si>
  <si>
    <t>1.9.</t>
  </si>
  <si>
    <t xml:space="preserve">Спортивный объект (футбольное поле). Адрес: Ленинградская область, Волховский муниципальный район, МО Новоладожское городское поселение, город Новая Ладога, улица Суворова, 12и, в т.ч. оплата договоров на технологическое присоединение  </t>
  </si>
  <si>
    <t>2026-2027</t>
  </si>
  <si>
    <t xml:space="preserve">№ 47-1-1-2-061602-2023 
от 12 октября 
2023 года
</t>
  </si>
  <si>
    <t xml:space="preserve">125192,04
(в ценах
2023 года)
</t>
  </si>
  <si>
    <t>Новоладожское городское поселение Волховского муниципального района</t>
  </si>
  <si>
    <t>1.9.1</t>
  </si>
  <si>
    <t>1.9.2</t>
  </si>
  <si>
    <t>Отраслевой проект «Развитие объектов физической культуры и спорта», Федеральный проект «Развитие физической культуры и массового спорта»</t>
  </si>
  <si>
    <t>Итого по отраслевому проекту «Развитие объектов физической культуры и спорта», федеральному проекту «Развитие физической культуры и массового спорта»</t>
  </si>
  <si>
    <t>2028</t>
  </si>
  <si>
    <t>2029</t>
  </si>
  <si>
    <t>2030</t>
  </si>
  <si>
    <t>Всего по отраслевому проекту «Развитие объектов физической культуры и спорта», федеральному проекту «Развитие физической культуры и массового спорта»</t>
  </si>
  <si>
    <t>2022-2030</t>
  </si>
  <si>
    <t>2. Федеральный (региональный) проект "Спорт - норма жизни"</t>
  </si>
  <si>
    <t>2.1</t>
  </si>
  <si>
    <t xml:space="preserve">Итого по региональному  проекту «Спорт – норма жизни» </t>
  </si>
  <si>
    <t xml:space="preserve">Всего по региональному проекту «Спорт – норма жизни» </t>
  </si>
  <si>
    <t>2023-2024</t>
  </si>
  <si>
    <t>3. Капитальный ремонт объектов физической культуры и спорта ( отраслевой проект «Развитие объектов физической культуры и спорта»)</t>
  </si>
  <si>
    <t>3.1</t>
  </si>
  <si>
    <t>Капитальный ремонт объекта "Стадион", г. Шлиссельбург, ул. Октябрьская, д.2, в том числе тех. присоединение к инженерным сетям</t>
  </si>
  <si>
    <t>2021-  2026</t>
  </si>
  <si>
    <t>№ 47-1-1-2-010118-2021 
от 9 марта 
2021 года, 
№ 47-1-1-2-009507-2023 
от 1 марта 
2023 года,          №47-1-1-1-063577-2025 от 24 октября 2025 года</t>
  </si>
  <si>
    <t xml:space="preserve">147986,14        (в ценах 2020, 2022 и 2025 годов, 
в том числе ПИР – 1188,08)
</t>
  </si>
  <si>
    <t xml:space="preserve">Шлиссельбургское городское поселение Кировского муниципального района  </t>
  </si>
  <si>
    <t xml:space="preserve"> Администрация муниципального образования Шлиссельбургское городское поселение Кировского муниципального района Ленинградской области                </t>
  </si>
  <si>
    <t>3.1.1</t>
  </si>
  <si>
    <t>3.1.2</t>
  </si>
  <si>
    <t>3.2</t>
  </si>
  <si>
    <t>Капитальный ремонт спортивного объекта: "Стадион", расположенного по адресу: Ленинградская область, г. Тосно, парковая зона</t>
  </si>
  <si>
    <t>2022-     2025</t>
  </si>
  <si>
    <t xml:space="preserve">№ 47-1-1-2-057339-2021 
от 5 октября 2021 года,                          №47-1-1-2-076287-2023 от 12 декабря 2023 года
</t>
  </si>
  <si>
    <t>273240,49 (в ценах 2023 года, в том числе ПИР-4041,67)</t>
  </si>
  <si>
    <t xml:space="preserve">Тосненское городское поселение Тосненского
муниципального района
</t>
  </si>
  <si>
    <t>Администрация муниципального образования Тосненский район Ленинградской области</t>
  </si>
  <si>
    <t>3.2.1</t>
  </si>
  <si>
    <t>3.2.2</t>
  </si>
  <si>
    <t>3.3</t>
  </si>
  <si>
    <t xml:space="preserve">Капитальный ремонт Дома спорта "Юность" по адресу: Ленинградская область, 
город Волхов, Волховский проспект, 26, 187402
</t>
  </si>
  <si>
    <t xml:space="preserve">№ 47-1-1-2-026372-2020
от 25 мая 
2021 года            №47-1-1-2-073583-2025 от 5 декабря 2025 года
</t>
  </si>
  <si>
    <t>141232,53
(в ценах
2020 года)
15710,96 в ценах 2025 года (в части спортивного зала)</t>
  </si>
  <si>
    <t>Город Волхов Волховского муниципального района</t>
  </si>
  <si>
    <t>Муниципальное бюджетное учреждение спорта Волховский физкультурно-спортивный центр "Волхов"</t>
  </si>
  <si>
    <t>3.3.1.</t>
  </si>
  <si>
    <t>3.3.2</t>
  </si>
  <si>
    <t>3.4.</t>
  </si>
  <si>
    <t>Капитальный ремонт  УМП "Плавательный бассейн" по адресу: Ленинградская область, Кировский район, г. Кировск, ул. Молодежная, д.15</t>
  </si>
  <si>
    <t>2024-                2026</t>
  </si>
  <si>
    <t>№47-1-1-2-026288-2023                                  от 18 мая               2023 года, №47-1-1-2-064364-2025 от 28 октября 2025 года</t>
  </si>
  <si>
    <t>230101,72                (в ценах 2019,2022 и 2025 годов)</t>
  </si>
  <si>
    <t>Кировский муниципальный район</t>
  </si>
  <si>
    <t xml:space="preserve"> Муниципальное казенное учреждение "Управление капитального строительства" Кировского муниципального района  Ленинградской области</t>
  </si>
  <si>
    <t>3.3.1</t>
  </si>
  <si>
    <t>3.4</t>
  </si>
  <si>
    <t>Капитальный ремонт стадиона "Сосновый", расположенного по адресу: Ленинградская область,  г. Приозерск, ул. Ленинградское шоссе, уч. 61</t>
  </si>
  <si>
    <t xml:space="preserve">№47-1-1-2-029523-2023             от 31 мая 2023 года </t>
  </si>
  <si>
    <t>52 755,24 (в ценах 2023 года, в т.ч. ПИР -657,0)</t>
  </si>
  <si>
    <t>Приозерский муниципальный район</t>
  </si>
  <si>
    <t>Администрация Приозерского муниципального района</t>
  </si>
  <si>
    <t>3.4.1</t>
  </si>
  <si>
    <t>3.4.2</t>
  </si>
  <si>
    <t>3.5</t>
  </si>
  <si>
    <t>Капитальный ремонт открытого плоскостного физкультурно-спортивного сооружения в д. Ретюнь Лужского района Ленинградской области</t>
  </si>
  <si>
    <t xml:space="preserve">№ 78-2-1-2-4541-23 от 30 мая 2023 года </t>
  </si>
  <si>
    <t>9 630, 60360 (в ценах 2023 года)</t>
  </si>
  <si>
    <t>Ретюнское сельское поселение Лужского муниципального района</t>
  </si>
  <si>
    <t>Администрация Ретюнского сельского поселения Лужского муници-пального района</t>
  </si>
  <si>
    <t>3.5.1</t>
  </si>
  <si>
    <t>3.5.2</t>
  </si>
  <si>
    <t>3.6</t>
  </si>
  <si>
    <t>Капитальный ремонт спортивной площадки по адресу: г.Коммунар, ул. Бумажников, д.2</t>
  </si>
  <si>
    <t>№ 0-2-1-0328-22 от 13 декабря 2022 года</t>
  </si>
  <si>
    <t>9 513,48878 (в ценах 2022года)</t>
  </si>
  <si>
    <t>Гатчинский муниципальный округ</t>
  </si>
  <si>
    <t>Территориальное управление город Коммунар администрации муниципального образования Гатчинский муници-пальный округ</t>
  </si>
  <si>
    <t>3.6.1</t>
  </si>
  <si>
    <t>3.6.2</t>
  </si>
  <si>
    <t>3.7</t>
  </si>
  <si>
    <t>Капитальный ремонт спортивной площадки по адресу: г.Коммунар, ул. Садовая,8/ул. Гатчинская д.8</t>
  </si>
  <si>
    <t xml:space="preserve"> № 0-2-1-0329-23 от 13 декабря 2022 года</t>
  </si>
  <si>
    <t>9 177,4122 (в ценах 2022 года)</t>
  </si>
  <si>
    <t>3.7.1</t>
  </si>
  <si>
    <t>3.7.2</t>
  </si>
  <si>
    <t>3.8</t>
  </si>
  <si>
    <t xml:space="preserve">Капитальный ремонт здания физкультурно-оздоровительного комплекса №1 (ФОК №1), расположенного по адресу: Ленинградская область, Тосненский район, г. Никольское, ул. Дачная, д. 6 </t>
  </si>
  <si>
    <r>
      <t>№</t>
    </r>
    <r>
      <rPr>
        <sz val="12"/>
        <rFont val="Times New Roman"/>
        <family val="1"/>
        <charset val="204"/>
      </rPr>
      <t xml:space="preserve"> 47-1-1-2-020162-2023                         от 19 апреля 2023 года </t>
    </r>
  </si>
  <si>
    <t xml:space="preserve">24 694,68 (в ценах  2022года) </t>
  </si>
  <si>
    <t>Никольское городское поселение Тосненского муниципального района</t>
  </si>
  <si>
    <t>Админстрация Никольского городского поселения Тосненского муниципального района</t>
  </si>
  <si>
    <t>3.8.1</t>
  </si>
  <si>
    <t>3.8.2</t>
  </si>
  <si>
    <t>3.9</t>
  </si>
  <si>
    <t>Капитальный ремонт Стадиона пос. Романовка Всеволожского муниципального района Ленинградской области. Искусственное покрытие.</t>
  </si>
  <si>
    <t>№ 0-2-1-0133-23 от 29 мая 2023 года</t>
  </si>
  <si>
    <t>9 999,76434 (в ценах 2023года)</t>
  </si>
  <si>
    <t>Романовское сельское поселение Всеволожского муниципального района</t>
  </si>
  <si>
    <t>Администрация Романовского сельского поселения Всеволожского муниципального района</t>
  </si>
  <si>
    <t>3.9.1</t>
  </si>
  <si>
    <t>3.9.2</t>
  </si>
  <si>
    <t>3.10</t>
  </si>
  <si>
    <t>Капитальный ремонт площадки для альтернативных видов спорта (скейт парк)</t>
  </si>
  <si>
    <t xml:space="preserve">№ЭОСД- 01.023.05.29          от 29 мая 2023 года </t>
  </si>
  <si>
    <t>1095,61184 (в ценах 2023 года)</t>
  </si>
  <si>
    <t>Муниципальное казенное учреждение "Агентство по культуре и спорту Дубровского городского поселения"</t>
  </si>
  <si>
    <t>3.10.1</t>
  </si>
  <si>
    <t>3.10.2</t>
  </si>
  <si>
    <t>3.11</t>
  </si>
  <si>
    <t>Капитальный ремонт здания универсального спортивного комплекса в п. Дзержинского</t>
  </si>
  <si>
    <t xml:space="preserve">№ 25/4-05-23      от 25 мая 2023 года </t>
  </si>
  <si>
    <t>9 830,35714 (в ценах 2023года)</t>
  </si>
  <si>
    <t>Дзержинское сельское поселение Лужского муниципального района</t>
  </si>
  <si>
    <t xml:space="preserve">Администрация Дзержинского сельского поселения Лужского муници-
пального района
</t>
  </si>
  <si>
    <t>3.11.1</t>
  </si>
  <si>
    <t>3.11.2</t>
  </si>
  <si>
    <t>3.12</t>
  </si>
  <si>
    <t>Капитальный ремонт спортивной площадки (спортивное поле) – бывший «Стадион в г.Ивангороде на Кингисеппском шоссе»</t>
  </si>
  <si>
    <t xml:space="preserve">№47-1-1-2-000552-2023                                         от 11 января 2023 года </t>
  </si>
  <si>
    <t>111 213,54 (в ценах 2022 года)</t>
  </si>
  <si>
    <t xml:space="preserve">Ивангородское городское поселение Кингисеппского муниципального района </t>
  </si>
  <si>
    <t xml:space="preserve">Администрация муниципального образования «Ивангородское городское поселение»  Кингисеппского муниципального района 
</t>
  </si>
  <si>
    <t>3.12.1</t>
  </si>
  <si>
    <t>3.12.2</t>
  </si>
  <si>
    <t>3.13</t>
  </si>
  <si>
    <t>Капитальный ремонт универсальной спортивной площадки (волейбольная, баскетбольная), расположенной по адресу: Ленинградская область, Всеволожский муниципальный р-н, Заневское городское поселение, г.п. Янино-1, ул. Новая 12, кадастровый номер: 47:07:1039001:16954</t>
  </si>
  <si>
    <t xml:space="preserve">№26/6-05-23       от 26 мая 2023 года </t>
  </si>
  <si>
    <t>6648,82415 (в ценах 2023 года)</t>
  </si>
  <si>
    <t>Заневское городское поселение Всеволожского муниципального района</t>
  </si>
  <si>
    <t xml:space="preserve">Администрация Заневского городского поселения Всеволожского муниципального района
</t>
  </si>
  <si>
    <t>3.13.1</t>
  </si>
  <si>
    <t>3.13.2</t>
  </si>
  <si>
    <t>3.14</t>
  </si>
  <si>
    <t>Капитальный ремонт универсальной спортивной площадки (волейбольная), расположенной по адресу: Ленинградская область, Всеволожский муниципальный р-н, Заневское городское поселение, дер. Заневка, ул. Питерская, з/у 5а, кадастровый номер: 47:07:1001002:126</t>
  </si>
  <si>
    <t xml:space="preserve">№26/4-05-23        от 26 мая 2023 года </t>
  </si>
  <si>
    <t>3465,39061 (в ценах 2023 года)</t>
  </si>
  <si>
    <t>3.14.1</t>
  </si>
  <si>
    <t>3.14.2</t>
  </si>
  <si>
    <t>3.15</t>
  </si>
  <si>
    <t>Капитальный ремонт спортивной площадки по адресу: Ленинградская область, Выборгский район, МО «Светогорское городское поселение», д. Лосево, ул. Школьная</t>
  </si>
  <si>
    <t xml:space="preserve">№47-1-1-2-048311-2023                              от 17 августа 2023 года 
</t>
  </si>
  <si>
    <t>74818,62 (в ценах 2023 года)</t>
  </si>
  <si>
    <t xml:space="preserve">Светогорское городское поселение Выборгского района </t>
  </si>
  <si>
    <t>3.15.1</t>
  </si>
  <si>
    <t>3.15.2</t>
  </si>
  <si>
    <t>3.16</t>
  </si>
  <si>
    <t>Капитальный ремонт открытого плоскостного физкультурно-спортивного сооружения по адресу: Ленинградская область, Тосненский район, г. Любань, ул. Карла Маркса, д.3А</t>
  </si>
  <si>
    <t xml:space="preserve">№ 0-2-1-0152-24 от 21 июня 2024 года 
</t>
  </si>
  <si>
    <t>7909,67548 (в ценах 2024года)</t>
  </si>
  <si>
    <t xml:space="preserve"> Любанское городское поселение Тосненского муниципального района </t>
  </si>
  <si>
    <t>3.16.1</t>
  </si>
  <si>
    <t>3.16.2</t>
  </si>
  <si>
    <t>3.17</t>
  </si>
  <si>
    <t>Капитальный ремонт основания и покрытия СП (хоккей) юго-запад водоем д. Новое Девяткино Всеволожский район Ленинградская область</t>
  </si>
  <si>
    <t xml:space="preserve">№78-2-1-2-00462-24 от 19 июня 2024 года
</t>
  </si>
  <si>
    <t xml:space="preserve">9982,16177  (в ценах 2024 года) </t>
  </si>
  <si>
    <t xml:space="preserve">Новодевяткинское сельское поселение Всеволожского муниципального района </t>
  </si>
  <si>
    <t>3.17.1</t>
  </si>
  <si>
    <t>3.17.2</t>
  </si>
  <si>
    <t>3.18</t>
  </si>
  <si>
    <t>Капитальный ремонт лыжероллерной трассы МБУ ДО ДЮСШ «Богатырь»  по адресу: Ленинградская область, г. Тихвин, ул. Пещерка, д. 4</t>
  </si>
  <si>
    <t xml:space="preserve">№47-1-1-2-043466-2023 от 26 июля 2023 года 
</t>
  </si>
  <si>
    <t>50181,77 (в ценах 2023 года)</t>
  </si>
  <si>
    <t>Тихвинский муниципальный район</t>
  </si>
  <si>
    <t>3.18.1</t>
  </si>
  <si>
    <t>3.18.2</t>
  </si>
  <si>
    <t>3.19</t>
  </si>
  <si>
    <t xml:space="preserve">Обследование строительных конструкций, инженерных систем, обмерные работы и разработка проектно-сметной документации на капитальный ремонт объекта капитального строительства «Здание спортивного зала», расположенного по адресу: Ленинградская область, г. Гатчина, ул. Чехова д. 8А </t>
  </si>
  <si>
    <t xml:space="preserve"> №47-1-1-2-005490-2024               от 12 февраля 2024 года
</t>
  </si>
  <si>
    <t>74938,23 (в ценах 2023года, в том числе ПИР- 1980,0)</t>
  </si>
  <si>
    <t>МКУ «Управление строительства Гатчинского муниципального округа»</t>
  </si>
  <si>
    <t>3.19.1</t>
  </si>
  <si>
    <t>3.19.2</t>
  </si>
  <si>
    <t>3.20</t>
  </si>
  <si>
    <t>Капитальный ремонт здания общественно-бытового корпуса муниципального бюджетного учреждения «Спортивная школа олимпийского резерва «Фаворит» расположенного по адресу: Ленинградская область, г. Выборг, ул. Данилова, д. 1</t>
  </si>
  <si>
    <t>2028-2029</t>
  </si>
  <si>
    <t>№ 47-1-1-2-048554-2022 от 20 июля 2022 года</t>
  </si>
  <si>
    <t xml:space="preserve">143 205, 80 (в ценах 2022 года)
</t>
  </si>
  <si>
    <t>Выборгский муниципальный район</t>
  </si>
  <si>
    <t>3.20.1</t>
  </si>
  <si>
    <t>3.20.2</t>
  </si>
  <si>
    <t>3.21</t>
  </si>
  <si>
    <t>Капитальный ремонт стадиона поселка Романовка Всеволожского муниципального района Ленинградской области. Волейбольная и тренажёрная площадки</t>
  </si>
  <si>
    <t>№ 0-2-1-0145-25 от 4 июля 2025 года</t>
  </si>
  <si>
    <t>5952,20197 (в ценах 2025года)</t>
  </si>
  <si>
    <t>3.21.1</t>
  </si>
  <si>
    <t>3.21.2</t>
  </si>
  <si>
    <t>3.22</t>
  </si>
  <si>
    <t xml:space="preserve">Капитальный ремонт открытого плоскостного физкультурно-спортивного сооружения (стадиона) МБУ "Спортивный центр г. Приморск" по адресу: пос. Рябово </t>
  </si>
  <si>
    <t>№47-1-1-2-076964-2023 от 14 декабря 2023 года</t>
  </si>
  <si>
    <t xml:space="preserve">37457,86 (в ценах 2023 года)
</t>
  </si>
  <si>
    <t xml:space="preserve">Приморское городское поселение Выборгского муниципального района </t>
  </si>
  <si>
    <t>3.22.1</t>
  </si>
  <si>
    <t>3.22.2</t>
  </si>
  <si>
    <t>3.23</t>
  </si>
  <si>
    <t xml:space="preserve">Капитальный ремонт стадиона по адресу: Ленинградская область, Кировский район, г. п. Приладожский, участок 27 </t>
  </si>
  <si>
    <t xml:space="preserve"> № 47-1-1-2-079486-2022
от 14 ноября 2022 года</t>
  </si>
  <si>
    <t xml:space="preserve">203 305,17 (в ценах 2022 года)
</t>
  </si>
  <si>
    <t>3.23.1</t>
  </si>
  <si>
    <t>3.23.2</t>
  </si>
  <si>
    <t>3.24</t>
  </si>
  <si>
    <t>Капитальный ремонт городошной площадки, расположенной по адресу: Ленинградская область, г. Тихвин, ул. Пещерка, д. 1</t>
  </si>
  <si>
    <t>№78-2-1-2-5103-24 от 30 октября 2024 года</t>
  </si>
  <si>
    <t xml:space="preserve">6199,65 ( в ценах 2024года)
</t>
  </si>
  <si>
    <t>Тихвинское городское поселение Тихвинского муниципального района</t>
  </si>
  <si>
    <t>3.24.1</t>
  </si>
  <si>
    <t>3.24.2</t>
  </si>
  <si>
    <t>3.25</t>
  </si>
  <si>
    <t>Капитальный ремонт фасада, кровли и части помещений 1-го этажа здания бассейна МАУ "ФОК "СВИРЬ" по адресу: 187780, Ленинградская область, р-н Подпорожский, г. Подпорожье, пр-кт Ленина, д.32А</t>
  </si>
  <si>
    <t>№ 47-1-1-2-008685-2025 от 20 февраля 2025 года</t>
  </si>
  <si>
    <t>62 662,68 в ценах 2024 года</t>
  </si>
  <si>
    <t xml:space="preserve">Подпоржский муниципальный район </t>
  </si>
  <si>
    <t>3.25.1</t>
  </si>
  <si>
    <t>3.25.2</t>
  </si>
  <si>
    <t>Итого на капитальный ремонт объектов физической культуры и спорта</t>
  </si>
  <si>
    <t>Всего на капитальный ремонт объектов физической культуры и спорта</t>
  </si>
  <si>
    <t>2022-              2030</t>
  </si>
  <si>
    <t xml:space="preserve">Итого по государственной программе Ленинградской области "Развитие физической культуры и спорта 
в Ленинградской области"
</t>
  </si>
  <si>
    <t xml:space="preserve">Всего по государственной программе Ленинградской области "Развитие физической культуры и спорта 
в Ленинградской области"
</t>
  </si>
  <si>
    <t>2022-                      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</si>
</sst>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-* #,##0_р_._-;\-* #,##0_р_._-;_-* &quot;-&quot;_р_._-;_-@_-"/>
    <numFmt numFmtId="165" formatCode="#,##0.00_р_."/>
    <numFmt numFmtId="166" formatCode="#,##0.0_р_."/>
    <numFmt numFmtId="167" formatCode="_-* #,##0.0_р_._-;\-* #,##0.0_р_._-;_-* &quot;-&quot;??_р_._-;_-@_-"/>
    <numFmt numFmtId="168" formatCode="0.0"/>
    <numFmt numFmtId="169" formatCode="#,##0_р_."/>
    <numFmt numFmtId="170" formatCode="#,##0.000_р_."/>
    <numFmt numFmtId="171" formatCode="#,##0.000"/>
    <numFmt numFmtId="172" formatCode="0.00000000000"/>
  </numFmts>
  <fonts count="19" x14ac:knownFonts="1">
    <font>
      <sz val="11"/>
      <color theme="1"/>
      <name val="Calibri"/>
      <scheme val="minor"/>
    </font>
    <font>
      <sz val="11"/>
      <color indexed="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3"/>
      <name val="Times New Roman"/>
      <family val="1"/>
      <charset val="204"/>
    </font>
    <font>
      <strike/>
      <sz val="11"/>
      <name val="Calibri"/>
      <family val="2"/>
      <charset val="204"/>
      <scheme val="minor"/>
    </font>
    <font>
      <strike/>
      <sz val="14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6"/>
      <name val="Calibri"/>
      <family val="2"/>
      <charset val="204"/>
      <scheme val="minor"/>
    </font>
    <font>
      <b/>
      <sz val="18"/>
      <color indexed="2"/>
      <name val="Calibri"/>
      <family val="2"/>
      <charset val="204"/>
      <scheme val="minor"/>
    </font>
    <font>
      <i/>
      <sz val="11"/>
      <name val="Times New Roman"/>
      <family val="1"/>
      <charset val="204"/>
    </font>
    <font>
      <sz val="14"/>
      <color indexed="2"/>
      <name val="Times New Roman"/>
      <family val="1"/>
      <charset val="204"/>
    </font>
    <font>
      <b/>
      <i/>
      <sz val="14"/>
      <color indexed="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FFFF00"/>
        <bgColor theme="0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2">
    <xf numFmtId="0" fontId="0" fillId="0" borderId="0"/>
    <xf numFmtId="164" fontId="18" fillId="0" borderId="0"/>
  </cellStyleXfs>
  <cellXfs count="299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/>
    <xf numFmtId="0" fontId="2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top" wrapText="1"/>
    </xf>
    <xf numFmtId="4" fontId="2" fillId="2" borderId="0" xfId="0" applyNumberFormat="1" applyFont="1" applyFill="1"/>
    <xf numFmtId="0" fontId="4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/>
    <xf numFmtId="0" fontId="4" fillId="2" borderId="7" xfId="0" applyFont="1" applyFill="1" applyBorder="1" applyAlignment="1">
      <alignment horizontal="center" vertical="top" wrapText="1"/>
    </xf>
    <xf numFmtId="0" fontId="4" fillId="2" borderId="7" xfId="0" applyFont="1" applyFill="1" applyBorder="1"/>
    <xf numFmtId="49" fontId="4" fillId="2" borderId="5" xfId="0" applyNumberFormat="1" applyFont="1" applyFill="1" applyBorder="1" applyAlignment="1">
      <alignment horizontal="center" vertical="top" wrapText="1"/>
    </xf>
    <xf numFmtId="165" fontId="4" fillId="2" borderId="7" xfId="0" applyNumberFormat="1" applyFont="1" applyFill="1" applyBorder="1" applyAlignment="1">
      <alignment horizontal="center" vertical="top" wrapText="1"/>
    </xf>
    <xf numFmtId="166" fontId="4" fillId="2" borderId="7" xfId="0" applyNumberFormat="1" applyFont="1" applyFill="1" applyBorder="1" applyAlignment="1">
      <alignment horizontal="center" vertical="top" wrapText="1"/>
    </xf>
    <xf numFmtId="0" fontId="6" fillId="2" borderId="0" xfId="0" applyFont="1" applyFill="1"/>
    <xf numFmtId="49" fontId="4" fillId="2" borderId="12" xfId="0" applyNumberFormat="1" applyFont="1" applyFill="1" applyBorder="1" applyAlignment="1">
      <alignment horizontal="center" vertical="top" wrapText="1"/>
    </xf>
    <xf numFmtId="165" fontId="4" fillId="2" borderId="6" xfId="0" applyNumberFormat="1" applyFont="1" applyFill="1" applyBorder="1" applyAlignment="1">
      <alignment horizontal="center" vertical="top" wrapText="1"/>
    </xf>
    <xf numFmtId="166" fontId="4" fillId="2" borderId="6" xfId="0" applyNumberFormat="1" applyFont="1" applyFill="1" applyBorder="1" applyAlignment="1">
      <alignment horizontal="center" vertical="top" wrapText="1"/>
    </xf>
    <xf numFmtId="49" fontId="4" fillId="2" borderId="14" xfId="0" applyNumberFormat="1" applyFont="1" applyFill="1" applyBorder="1" applyAlignment="1">
      <alignment horizontal="center" vertical="top"/>
    </xf>
    <xf numFmtId="49" fontId="4" fillId="2" borderId="6" xfId="0" applyNumberFormat="1" applyFont="1" applyFill="1" applyBorder="1" applyAlignment="1">
      <alignment horizontal="center" vertical="top" wrapText="1"/>
    </xf>
    <xf numFmtId="49" fontId="4" fillId="2" borderId="2" xfId="0" applyNumberFormat="1" applyFont="1" applyFill="1" applyBorder="1" applyAlignment="1">
      <alignment horizontal="center" vertical="top"/>
    </xf>
    <xf numFmtId="49" fontId="4" fillId="2" borderId="7" xfId="0" applyNumberFormat="1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left" vertical="top" wrapText="1"/>
    </xf>
    <xf numFmtId="49" fontId="4" fillId="2" borderId="2" xfId="0" applyNumberFormat="1" applyFont="1" applyFill="1" applyBorder="1" applyAlignment="1">
      <alignment horizontal="center" vertical="top" wrapText="1"/>
    </xf>
    <xf numFmtId="165" fontId="4" fillId="2" borderId="2" xfId="0" applyNumberFormat="1" applyFont="1" applyFill="1" applyBorder="1" applyAlignment="1">
      <alignment horizontal="center" vertical="top" wrapText="1"/>
    </xf>
    <xf numFmtId="165" fontId="4" fillId="2" borderId="14" xfId="0" applyNumberFormat="1" applyFont="1" applyFill="1" applyBorder="1" applyAlignment="1">
      <alignment horizontal="center" vertical="top" wrapText="1"/>
    </xf>
    <xf numFmtId="166" fontId="4" fillId="2" borderId="2" xfId="0" applyNumberFormat="1" applyFont="1" applyFill="1" applyBorder="1" applyAlignment="1">
      <alignment horizontal="center" vertical="top" wrapText="1"/>
    </xf>
    <xf numFmtId="49" fontId="4" fillId="2" borderId="17" xfId="0" applyNumberFormat="1" applyFont="1" applyFill="1" applyBorder="1" applyAlignment="1">
      <alignment horizontal="center" vertical="top" wrapText="1"/>
    </xf>
    <xf numFmtId="165" fontId="4" fillId="2" borderId="8" xfId="0" applyNumberFormat="1" applyFont="1" applyFill="1" applyBorder="1" applyAlignment="1">
      <alignment horizontal="center" vertical="top" wrapText="1"/>
    </xf>
    <xf numFmtId="165" fontId="4" fillId="2" borderId="10" xfId="0" applyNumberFormat="1" applyFont="1" applyFill="1" applyBorder="1" applyAlignment="1">
      <alignment horizontal="center" vertical="top" wrapText="1"/>
    </xf>
    <xf numFmtId="166" fontId="4" fillId="2" borderId="10" xfId="0" applyNumberFormat="1" applyFont="1" applyFill="1" applyBorder="1" applyAlignment="1">
      <alignment horizontal="center" vertical="top" wrapText="1"/>
    </xf>
    <xf numFmtId="49" fontId="4" fillId="2" borderId="10" xfId="0" applyNumberFormat="1" applyFont="1" applyFill="1" applyBorder="1" applyAlignment="1">
      <alignment horizontal="center" vertical="top" wrapText="1"/>
    </xf>
    <xf numFmtId="165" fontId="4" fillId="2" borderId="17" xfId="0" applyNumberFormat="1" applyFont="1" applyFill="1" applyBorder="1" applyAlignment="1">
      <alignment horizontal="center" vertical="top" wrapText="1"/>
    </xf>
    <xf numFmtId="166" fontId="4" fillId="2" borderId="18" xfId="0" applyNumberFormat="1" applyFont="1" applyFill="1" applyBorder="1" applyAlignment="1">
      <alignment horizontal="center" vertical="top" wrapText="1"/>
    </xf>
    <xf numFmtId="166" fontId="4" fillId="2" borderId="10" xfId="1" applyNumberFormat="1" applyFont="1" applyFill="1" applyBorder="1" applyAlignment="1">
      <alignment horizontal="center" vertical="top" shrinkToFit="1"/>
    </xf>
    <xf numFmtId="165" fontId="4" fillId="2" borderId="20" xfId="1" applyNumberFormat="1" applyFont="1" applyFill="1" applyBorder="1" applyAlignment="1">
      <alignment horizontal="center" vertical="top" shrinkToFit="1"/>
    </xf>
    <xf numFmtId="167" fontId="4" fillId="2" borderId="10" xfId="1" applyNumberFormat="1" applyFont="1" applyFill="1" applyBorder="1" applyAlignment="1">
      <alignment horizontal="center" vertical="top"/>
    </xf>
    <xf numFmtId="165" fontId="4" fillId="2" borderId="10" xfId="1" applyNumberFormat="1" applyFont="1" applyFill="1" applyBorder="1" applyAlignment="1">
      <alignment horizontal="center" vertical="top" shrinkToFit="1"/>
    </xf>
    <xf numFmtId="169" fontId="4" fillId="2" borderId="10" xfId="1" applyNumberFormat="1" applyFont="1" applyFill="1" applyBorder="1" applyAlignment="1">
      <alignment horizontal="center" vertical="top" shrinkToFit="1"/>
    </xf>
    <xf numFmtId="166" fontId="4" fillId="2" borderId="6" xfId="1" applyNumberFormat="1" applyFont="1" applyFill="1" applyBorder="1" applyAlignment="1">
      <alignment horizontal="center" vertical="top" shrinkToFit="1"/>
    </xf>
    <xf numFmtId="167" fontId="4" fillId="2" borderId="6" xfId="1" applyNumberFormat="1" applyFont="1" applyFill="1" applyBorder="1" applyAlignment="1">
      <alignment horizontal="center" vertical="top"/>
    </xf>
    <xf numFmtId="166" fontId="4" fillId="2" borderId="7" xfId="1" applyNumberFormat="1" applyFont="1" applyFill="1" applyBorder="1" applyAlignment="1">
      <alignment horizontal="center" vertical="top" shrinkToFit="1"/>
    </xf>
    <xf numFmtId="165" fontId="4" fillId="2" borderId="7" xfId="1" applyNumberFormat="1" applyFont="1" applyFill="1" applyBorder="1" applyAlignment="1">
      <alignment horizontal="center" vertical="top" shrinkToFit="1"/>
    </xf>
    <xf numFmtId="167" fontId="4" fillId="2" borderId="7" xfId="1" applyNumberFormat="1" applyFont="1" applyFill="1" applyBorder="1" applyAlignment="1">
      <alignment horizontal="center" vertical="top"/>
    </xf>
    <xf numFmtId="165" fontId="4" fillId="2" borderId="6" xfId="1" applyNumberFormat="1" applyFont="1" applyFill="1" applyBorder="1" applyAlignment="1">
      <alignment horizontal="center" vertical="top" shrinkToFit="1"/>
    </xf>
    <xf numFmtId="165" fontId="4" fillId="2" borderId="14" xfId="1" applyNumberFormat="1" applyFont="1" applyFill="1" applyBorder="1" applyAlignment="1">
      <alignment horizontal="center" vertical="top" shrinkToFit="1"/>
    </xf>
    <xf numFmtId="170" fontId="4" fillId="2" borderId="7" xfId="0" applyNumberFormat="1" applyFont="1" applyFill="1" applyBorder="1" applyAlignment="1">
      <alignment horizontal="center" vertical="top" wrapText="1"/>
    </xf>
    <xf numFmtId="166" fontId="4" fillId="2" borderId="15" xfId="1" applyNumberFormat="1" applyFont="1" applyFill="1" applyBorder="1" applyAlignment="1">
      <alignment horizontal="center" vertical="top" shrinkToFit="1"/>
    </xf>
    <xf numFmtId="167" fontId="4" fillId="2" borderId="12" xfId="1" applyNumberFormat="1" applyFont="1" applyFill="1" applyBorder="1" applyAlignment="1">
      <alignment horizontal="center" vertical="top"/>
    </xf>
    <xf numFmtId="0" fontId="4" fillId="2" borderId="7" xfId="0" applyFont="1" applyFill="1" applyBorder="1" applyAlignment="1">
      <alignment horizontal="left" vertical="top" wrapText="1"/>
    </xf>
    <xf numFmtId="0" fontId="2" fillId="2" borderId="6" xfId="0" applyFont="1" applyFill="1" applyBorder="1"/>
    <xf numFmtId="49" fontId="4" fillId="2" borderId="6" xfId="0" applyNumberFormat="1" applyFont="1" applyFill="1" applyBorder="1" applyAlignment="1">
      <alignment horizontal="center" vertical="top"/>
    </xf>
    <xf numFmtId="0" fontId="4" fillId="2" borderId="6" xfId="0" applyFont="1" applyFill="1" applyBorder="1" applyAlignment="1">
      <alignment horizontal="left" vertical="top" wrapText="1"/>
    </xf>
    <xf numFmtId="2" fontId="4" fillId="2" borderId="6" xfId="0" applyNumberFormat="1" applyFont="1" applyFill="1" applyBorder="1" applyAlignment="1">
      <alignment horizontal="center" vertical="top" wrapText="1"/>
    </xf>
    <xf numFmtId="2" fontId="2" fillId="2" borderId="0" xfId="0" applyNumberFormat="1" applyFont="1" applyFill="1"/>
    <xf numFmtId="0" fontId="4" fillId="2" borderId="8" xfId="0" applyFont="1" applyFill="1" applyBorder="1" applyAlignment="1">
      <alignment vertical="top" wrapText="1"/>
    </xf>
    <xf numFmtId="0" fontId="4" fillId="2" borderId="9" xfId="0" applyFont="1" applyFill="1" applyBorder="1" applyAlignment="1">
      <alignment vertical="top" wrapText="1"/>
    </xf>
    <xf numFmtId="0" fontId="4" fillId="2" borderId="11" xfId="0" applyFont="1" applyFill="1" applyBorder="1" applyAlignment="1">
      <alignment vertical="top" wrapText="1"/>
    </xf>
    <xf numFmtId="0" fontId="4" fillId="2" borderId="16" xfId="0" applyFont="1" applyFill="1" applyBorder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4" fillId="2" borderId="13" xfId="0" applyFont="1" applyFill="1" applyBorder="1" applyAlignment="1">
      <alignment vertical="top" wrapText="1"/>
    </xf>
    <xf numFmtId="4" fontId="4" fillId="2" borderId="7" xfId="0" applyNumberFormat="1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/>
    <xf numFmtId="165" fontId="4" fillId="2" borderId="5" xfId="0" applyNumberFormat="1" applyFont="1" applyFill="1" applyBorder="1" applyAlignment="1">
      <alignment horizontal="center" vertical="top" wrapText="1"/>
    </xf>
    <xf numFmtId="171" fontId="4" fillId="2" borderId="6" xfId="0" applyNumberFormat="1" applyFont="1" applyFill="1" applyBorder="1" applyAlignment="1">
      <alignment horizontal="center" vertical="center" wrapText="1"/>
    </xf>
    <xf numFmtId="171" fontId="4" fillId="2" borderId="7" xfId="0" applyNumberFormat="1" applyFont="1" applyFill="1" applyBorder="1" applyAlignment="1">
      <alignment horizontal="center" vertical="center" wrapText="1"/>
    </xf>
    <xf numFmtId="171" fontId="4" fillId="2" borderId="0" xfId="0" applyNumberFormat="1" applyFont="1" applyFill="1" applyAlignment="1">
      <alignment horizontal="center" vertical="center" wrapText="1"/>
    </xf>
    <xf numFmtId="0" fontId="8" fillId="2" borderId="0" xfId="0" applyFont="1" applyFill="1"/>
    <xf numFmtId="0" fontId="4" fillId="2" borderId="2" xfId="0" applyFont="1" applyFill="1" applyBorder="1" applyAlignment="1">
      <alignment vertical="top" wrapText="1"/>
    </xf>
    <xf numFmtId="1" fontId="4" fillId="2" borderId="2" xfId="0" applyNumberFormat="1" applyFont="1" applyFill="1" applyBorder="1" applyAlignment="1">
      <alignment horizontal="center" vertical="top" wrapText="1"/>
    </xf>
    <xf numFmtId="1" fontId="4" fillId="2" borderId="2" xfId="0" applyNumberFormat="1" applyFont="1" applyFill="1" applyBorder="1" applyAlignment="1">
      <alignment horizontal="left" vertical="top" wrapText="1"/>
    </xf>
    <xf numFmtId="168" fontId="4" fillId="2" borderId="2" xfId="0" applyNumberFormat="1" applyFont="1" applyFill="1" applyBorder="1" applyAlignment="1">
      <alignment vertical="top" wrapText="1"/>
    </xf>
    <xf numFmtId="0" fontId="9" fillId="2" borderId="7" xfId="0" applyFont="1" applyFill="1" applyBorder="1" applyAlignment="1">
      <alignment horizontal="center" vertical="center" wrapText="1"/>
    </xf>
    <xf numFmtId="165" fontId="4" fillId="2" borderId="6" xfId="0" applyNumberFormat="1" applyFont="1" applyFill="1" applyBorder="1" applyAlignment="1">
      <alignment horizontal="right" vertical="center" wrapText="1"/>
    </xf>
    <xf numFmtId="0" fontId="4" fillId="2" borderId="7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top" wrapText="1"/>
    </xf>
    <xf numFmtId="165" fontId="4" fillId="2" borderId="0" xfId="0" applyNumberFormat="1" applyFont="1" applyFill="1" applyAlignment="1">
      <alignment horizontal="center" vertical="top" wrapText="1"/>
    </xf>
    <xf numFmtId="170" fontId="4" fillId="2" borderId="0" xfId="0" applyNumberFormat="1" applyFont="1" applyFill="1" applyAlignment="1">
      <alignment horizontal="center" vertical="top" wrapText="1"/>
    </xf>
    <xf numFmtId="0" fontId="10" fillId="2" borderId="0" xfId="0" applyFont="1" applyFill="1"/>
    <xf numFmtId="49" fontId="4" fillId="2" borderId="7" xfId="0" applyNumberFormat="1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4" fontId="10" fillId="2" borderId="0" xfId="0" applyNumberFormat="1" applyFont="1" applyFill="1"/>
    <xf numFmtId="4" fontId="12" fillId="2" borderId="0" xfId="0" applyNumberFormat="1" applyFont="1" applyFill="1"/>
    <xf numFmtId="0" fontId="4" fillId="2" borderId="7" xfId="0" applyFont="1" applyFill="1" applyBorder="1" applyAlignment="1">
      <alignment horizontal="center" vertical="center"/>
    </xf>
    <xf numFmtId="166" fontId="4" fillId="2" borderId="7" xfId="1" applyNumberFormat="1" applyFont="1" applyFill="1" applyBorder="1" applyAlignment="1">
      <alignment horizontal="center" vertical="center"/>
    </xf>
    <xf numFmtId="1" fontId="4" fillId="2" borderId="6" xfId="0" applyNumberFormat="1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center" wrapText="1"/>
    </xf>
    <xf numFmtId="2" fontId="10" fillId="2" borderId="0" xfId="0" applyNumberFormat="1" applyFont="1" applyFill="1"/>
    <xf numFmtId="1" fontId="4" fillId="2" borderId="7" xfId="0" applyNumberFormat="1" applyFont="1" applyFill="1" applyBorder="1" applyAlignment="1">
      <alignment horizontal="center" vertical="top" wrapText="1"/>
    </xf>
    <xf numFmtId="2" fontId="4" fillId="2" borderId="7" xfId="0" applyNumberFormat="1" applyFont="1" applyFill="1" applyBorder="1" applyAlignment="1">
      <alignment horizontal="center" vertical="top" wrapText="1"/>
    </xf>
    <xf numFmtId="168" fontId="4" fillId="2" borderId="7" xfId="0" applyNumberFormat="1" applyFont="1" applyFill="1" applyBorder="1" applyAlignment="1">
      <alignment horizontal="center" vertical="top" wrapText="1"/>
    </xf>
    <xf numFmtId="0" fontId="1" fillId="2" borderId="0" xfId="0" applyFont="1" applyFill="1"/>
    <xf numFmtId="49" fontId="4" fillId="2" borderId="7" xfId="0" applyNumberFormat="1" applyFont="1" applyFill="1" applyBorder="1" applyAlignment="1">
      <alignment horizontal="center" vertical="top"/>
    </xf>
    <xf numFmtId="168" fontId="4" fillId="2" borderId="7" xfId="0" applyNumberFormat="1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center" vertical="top"/>
    </xf>
    <xf numFmtId="165" fontId="4" fillId="2" borderId="2" xfId="0" applyNumberFormat="1" applyFont="1" applyFill="1" applyBorder="1" applyAlignment="1">
      <alignment horizontal="center" vertical="top"/>
    </xf>
    <xf numFmtId="166" fontId="4" fillId="2" borderId="2" xfId="0" applyNumberFormat="1" applyFont="1" applyFill="1" applyBorder="1" applyAlignment="1">
      <alignment horizontal="center" vertical="top"/>
    </xf>
    <xf numFmtId="9" fontId="13" fillId="2" borderId="0" xfId="0" applyNumberFormat="1" applyFont="1" applyFill="1"/>
    <xf numFmtId="172" fontId="1" fillId="2" borderId="0" xfId="0" applyNumberFormat="1" applyFont="1" applyFill="1"/>
    <xf numFmtId="0" fontId="4" fillId="2" borderId="2" xfId="0" applyFont="1" applyFill="1" applyBorder="1" applyAlignment="1">
      <alignment horizontal="center" vertical="top"/>
    </xf>
    <xf numFmtId="165" fontId="4" fillId="2" borderId="7" xfId="0" applyNumberFormat="1" applyFont="1" applyFill="1" applyBorder="1" applyAlignment="1">
      <alignment horizontal="center" vertical="top"/>
    </xf>
    <xf numFmtId="166" fontId="4" fillId="2" borderId="7" xfId="0" applyNumberFormat="1" applyFont="1" applyFill="1" applyBorder="1" applyAlignment="1">
      <alignment horizontal="center" vertical="top"/>
    </xf>
    <xf numFmtId="165" fontId="4" fillId="2" borderId="0" xfId="0" applyNumberFormat="1" applyFont="1" applyFill="1" applyAlignment="1">
      <alignment horizontal="center" vertical="top"/>
    </xf>
    <xf numFmtId="166" fontId="4" fillId="2" borderId="0" xfId="0" applyNumberFormat="1" applyFont="1" applyFill="1" applyAlignment="1">
      <alignment horizontal="center" vertical="top"/>
    </xf>
    <xf numFmtId="168" fontId="4" fillId="2" borderId="6" xfId="0" applyNumberFormat="1" applyFont="1" applyFill="1" applyBorder="1" applyAlignment="1">
      <alignment horizontal="left" vertical="top" wrapText="1"/>
    </xf>
    <xf numFmtId="0" fontId="4" fillId="2" borderId="12" xfId="0" applyFont="1" applyFill="1" applyBorder="1" applyAlignment="1">
      <alignment horizontal="center" vertical="top"/>
    </xf>
    <xf numFmtId="9" fontId="6" fillId="2" borderId="0" xfId="0" applyNumberFormat="1" applyFont="1" applyFill="1"/>
    <xf numFmtId="4" fontId="14" fillId="2" borderId="7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top"/>
    </xf>
    <xf numFmtId="0" fontId="0" fillId="3" borderId="0" xfId="0" applyFill="1"/>
    <xf numFmtId="49" fontId="4" fillId="3" borderId="6" xfId="0" applyNumberFormat="1" applyFont="1" applyFill="1" applyBorder="1" applyAlignment="1">
      <alignment horizontal="center" vertical="top"/>
    </xf>
    <xf numFmtId="0" fontId="4" fillId="3" borderId="6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center" vertical="top" wrapText="1"/>
    </xf>
    <xf numFmtId="0" fontId="4" fillId="3" borderId="7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center" vertical="top" wrapText="1"/>
    </xf>
    <xf numFmtId="168" fontId="4" fillId="3" borderId="7" xfId="0" applyNumberFormat="1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center" vertical="top"/>
    </xf>
    <xf numFmtId="165" fontId="4" fillId="3" borderId="2" xfId="0" applyNumberFormat="1" applyFont="1" applyFill="1" applyBorder="1" applyAlignment="1">
      <alignment horizontal="center" vertical="top"/>
    </xf>
    <xf numFmtId="166" fontId="4" fillId="3" borderId="2" xfId="0" applyNumberFormat="1" applyFont="1" applyFill="1" applyBorder="1" applyAlignment="1">
      <alignment horizontal="center" vertical="top"/>
    </xf>
    <xf numFmtId="0" fontId="2" fillId="3" borderId="0" xfId="0" applyFont="1" applyFill="1"/>
    <xf numFmtId="9" fontId="6" fillId="3" borderId="0" xfId="0" applyNumberFormat="1" applyFont="1" applyFill="1"/>
    <xf numFmtId="49" fontId="4" fillId="3" borderId="7" xfId="0" applyNumberFormat="1" applyFont="1" applyFill="1" applyBorder="1" applyAlignment="1">
      <alignment horizontal="center" vertical="top"/>
    </xf>
    <xf numFmtId="0" fontId="4" fillId="3" borderId="14" xfId="0" applyFont="1" applyFill="1" applyBorder="1" applyAlignment="1">
      <alignment horizontal="center" vertical="top" wrapText="1"/>
    </xf>
    <xf numFmtId="168" fontId="4" fillId="2" borderId="0" xfId="0" applyNumberFormat="1" applyFont="1" applyFill="1" applyAlignment="1">
      <alignment horizontal="left" vertical="top" wrapText="1"/>
    </xf>
    <xf numFmtId="166" fontId="15" fillId="3" borderId="2" xfId="0" applyNumberFormat="1" applyFont="1" applyFill="1" applyBorder="1" applyAlignment="1">
      <alignment horizontal="center" vertical="top"/>
    </xf>
    <xf numFmtId="168" fontId="4" fillId="3" borderId="0" xfId="0" applyNumberFormat="1" applyFont="1" applyFill="1" applyAlignment="1">
      <alignment horizontal="left" vertical="top" wrapText="1"/>
    </xf>
    <xf numFmtId="166" fontId="15" fillId="2" borderId="2" xfId="0" applyNumberFormat="1" applyFont="1" applyFill="1" applyBorder="1" applyAlignment="1">
      <alignment horizontal="center" vertical="top"/>
    </xf>
    <xf numFmtId="0" fontId="15" fillId="2" borderId="6" xfId="0" applyFont="1" applyFill="1" applyBorder="1" applyAlignment="1">
      <alignment horizontal="center" vertical="top"/>
    </xf>
    <xf numFmtId="0" fontId="4" fillId="2" borderId="14" xfId="0" applyFont="1" applyFill="1" applyBorder="1" applyAlignment="1">
      <alignment horizontal="center" vertical="top"/>
    </xf>
    <xf numFmtId="166" fontId="15" fillId="2" borderId="7" xfId="0" applyNumberFormat="1" applyFont="1" applyFill="1" applyBorder="1" applyAlignment="1">
      <alignment horizontal="center" vertical="top"/>
    </xf>
    <xf numFmtId="0" fontId="15" fillId="2" borderId="10" xfId="0" applyFont="1" applyFill="1" applyBorder="1" applyAlignment="1">
      <alignment horizontal="center" vertical="top"/>
    </xf>
    <xf numFmtId="166" fontId="15" fillId="2" borderId="0" xfId="0" applyNumberFormat="1" applyFont="1" applyFill="1" applyAlignment="1">
      <alignment horizontal="center" vertical="top"/>
    </xf>
    <xf numFmtId="0" fontId="4" fillId="2" borderId="10" xfId="0" applyFont="1" applyFill="1" applyBorder="1" applyAlignment="1">
      <alignment horizontal="center" vertical="top"/>
    </xf>
    <xf numFmtId="165" fontId="4" fillId="2" borderId="11" xfId="0" applyNumberFormat="1" applyFont="1" applyFill="1" applyBorder="1" applyAlignment="1">
      <alignment horizontal="center" vertical="top"/>
    </xf>
    <xf numFmtId="0" fontId="15" fillId="2" borderId="2" xfId="0" applyFont="1" applyFill="1" applyBorder="1" applyAlignment="1">
      <alignment horizontal="center" vertical="top"/>
    </xf>
    <xf numFmtId="166" fontId="15" fillId="2" borderId="3" xfId="0" applyNumberFormat="1" applyFont="1" applyFill="1" applyBorder="1" applyAlignment="1">
      <alignment horizontal="center" vertical="top"/>
    </xf>
    <xf numFmtId="0" fontId="0" fillId="2" borderId="10" xfId="0" applyFill="1" applyBorder="1"/>
    <xf numFmtId="166" fontId="15" fillId="2" borderId="10" xfId="0" applyNumberFormat="1" applyFont="1" applyFill="1" applyBorder="1" applyAlignment="1">
      <alignment horizontal="center" vertical="top"/>
    </xf>
    <xf numFmtId="165" fontId="4" fillId="2" borderId="6" xfId="0" applyNumberFormat="1" applyFont="1" applyFill="1" applyBorder="1" applyAlignment="1">
      <alignment horizontal="center" vertical="top"/>
    </xf>
    <xf numFmtId="166" fontId="15" fillId="2" borderId="14" xfId="0" applyNumberFormat="1" applyFont="1" applyFill="1" applyBorder="1" applyAlignment="1">
      <alignment horizontal="center" vertical="top"/>
    </xf>
    <xf numFmtId="0" fontId="15" fillId="2" borderId="7" xfId="0" applyFont="1" applyFill="1" applyBorder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165" fontId="4" fillId="2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top"/>
    </xf>
    <xf numFmtId="165" fontId="4" fillId="3" borderId="7" xfId="0" applyNumberFormat="1" applyFont="1" applyFill="1" applyBorder="1" applyAlignment="1">
      <alignment horizontal="center" vertical="top"/>
    </xf>
    <xf numFmtId="166" fontId="4" fillId="3" borderId="7" xfId="0" applyNumberFormat="1" applyFont="1" applyFill="1" applyBorder="1" applyAlignment="1">
      <alignment horizontal="center" vertical="top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165" fontId="4" fillId="3" borderId="7" xfId="0" applyNumberFormat="1" applyFont="1" applyFill="1" applyBorder="1" applyAlignment="1">
      <alignment horizontal="center" vertical="top" wrapText="1"/>
    </xf>
    <xf numFmtId="1" fontId="4" fillId="2" borderId="5" xfId="0" applyNumberFormat="1" applyFont="1" applyFill="1" applyBorder="1" applyAlignment="1">
      <alignment horizontal="center" vertical="top" wrapText="1"/>
    </xf>
    <xf numFmtId="166" fontId="4" fillId="2" borderId="7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justify" vertical="top" wrapText="1"/>
    </xf>
    <xf numFmtId="0" fontId="2" fillId="4" borderId="0" xfId="0" applyFont="1" applyFill="1"/>
    <xf numFmtId="1" fontId="4" fillId="4" borderId="5" xfId="0" applyNumberFormat="1" applyFont="1" applyFill="1" applyBorder="1" applyAlignment="1">
      <alignment horizontal="center" vertical="top" wrapText="1"/>
    </xf>
    <xf numFmtId="166" fontId="4" fillId="4" borderId="7" xfId="0" applyNumberFormat="1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justify" vertical="top" wrapText="1"/>
    </xf>
    <xf numFmtId="0" fontId="4" fillId="4" borderId="7" xfId="0" applyFont="1" applyFill="1" applyBorder="1" applyAlignment="1">
      <alignment horizontal="center" vertical="top" wrapText="1"/>
    </xf>
    <xf numFmtId="168" fontId="4" fillId="4" borderId="7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justify" vertical="top" wrapText="1"/>
    </xf>
    <xf numFmtId="0" fontId="4" fillId="2" borderId="0" xfId="0" applyFont="1" applyFill="1" applyAlignment="1">
      <alignment horizontal="center" vertical="center" wrapText="1"/>
    </xf>
    <xf numFmtId="165" fontId="16" fillId="2" borderId="0" xfId="0" applyNumberFormat="1" applyFont="1" applyFill="1" applyAlignment="1">
      <alignment horizontal="center" vertical="center" wrapText="1"/>
    </xf>
    <xf numFmtId="166" fontId="4" fillId="2" borderId="0" xfId="0" applyNumberFormat="1" applyFont="1" applyFill="1" applyAlignment="1">
      <alignment horizontal="center" vertical="center" wrapText="1"/>
    </xf>
    <xf numFmtId="0" fontId="17" fillId="2" borderId="0" xfId="0" applyFont="1" applyFill="1"/>
    <xf numFmtId="165" fontId="15" fillId="2" borderId="0" xfId="0" applyNumberFormat="1" applyFont="1" applyFill="1" applyAlignment="1">
      <alignment horizontal="center" vertical="center" wrapText="1"/>
    </xf>
    <xf numFmtId="165" fontId="4" fillId="2" borderId="0" xfId="0" applyNumberFormat="1" applyFont="1" applyFill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left" vertical="top" wrapText="1"/>
    </xf>
    <xf numFmtId="0" fontId="4" fillId="2" borderId="11" xfId="0" applyFont="1" applyFill="1" applyBorder="1" applyAlignment="1">
      <alignment horizontal="left" vertical="top" wrapText="1"/>
    </xf>
    <xf numFmtId="0" fontId="4" fillId="2" borderId="16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2" borderId="13" xfId="0" applyFont="1" applyFill="1" applyBorder="1" applyAlignment="1">
      <alignment horizontal="left" vertical="top" wrapText="1"/>
    </xf>
    <xf numFmtId="0" fontId="4" fillId="3" borderId="16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4" fillId="2" borderId="15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2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left" vertical="top" wrapText="1"/>
    </xf>
    <xf numFmtId="0" fontId="4" fillId="3" borderId="9" xfId="0" applyFont="1" applyFill="1" applyBorder="1" applyAlignment="1">
      <alignment horizontal="left" vertical="top" wrapText="1"/>
    </xf>
    <xf numFmtId="0" fontId="4" fillId="3" borderId="1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 wrapText="1"/>
    </xf>
    <xf numFmtId="0" fontId="4" fillId="4" borderId="14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4" borderId="16" xfId="0" applyFont="1" applyFill="1" applyBorder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0" fontId="4" fillId="4" borderId="13" xfId="0" applyFont="1" applyFill="1" applyBorder="1" applyAlignment="1">
      <alignment horizontal="left" vertical="top" wrapText="1"/>
    </xf>
    <xf numFmtId="0" fontId="4" fillId="4" borderId="15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4" fillId="4" borderId="1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13" xfId="0" applyFont="1" applyFill="1" applyBorder="1" applyAlignment="1">
      <alignment horizontal="center" vertical="top" wrapText="1"/>
    </xf>
    <xf numFmtId="49" fontId="4" fillId="2" borderId="16" xfId="0" applyNumberFormat="1" applyFont="1" applyFill="1" applyBorder="1" applyAlignment="1">
      <alignment horizontal="center" vertical="top"/>
    </xf>
    <xf numFmtId="49" fontId="4" fillId="2" borderId="15" xfId="0" applyNumberFormat="1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left" vertical="top" wrapText="1"/>
    </xf>
    <xf numFmtId="0" fontId="4" fillId="2" borderId="10" xfId="0" applyFont="1" applyFill="1" applyBorder="1" applyAlignment="1">
      <alignment horizontal="center" vertical="top" wrapText="1"/>
    </xf>
    <xf numFmtId="168" fontId="4" fillId="2" borderId="10" xfId="0" applyNumberFormat="1" applyFont="1" applyFill="1" applyBorder="1" applyAlignment="1">
      <alignment horizontal="left" vertical="top" wrapText="1"/>
    </xf>
    <xf numFmtId="168" fontId="4" fillId="2" borderId="19" xfId="0" applyNumberFormat="1" applyFont="1" applyFill="1" applyBorder="1" applyAlignment="1">
      <alignment horizontal="left" vertical="top" wrapText="1"/>
    </xf>
    <xf numFmtId="168" fontId="4" fillId="2" borderId="20" xfId="0" applyNumberFormat="1" applyFont="1" applyFill="1" applyBorder="1" applyAlignment="1">
      <alignment horizontal="left" vertical="top" wrapText="1"/>
    </xf>
    <xf numFmtId="49" fontId="4" fillId="2" borderId="2" xfId="0" applyNumberFormat="1" applyFont="1" applyFill="1" applyBorder="1" applyAlignment="1">
      <alignment horizontal="center" vertical="top"/>
    </xf>
    <xf numFmtId="49" fontId="4" fillId="2" borderId="6" xfId="0" applyNumberFormat="1" applyFont="1" applyFill="1" applyBorder="1" applyAlignment="1">
      <alignment horizontal="center" vertical="top"/>
    </xf>
    <xf numFmtId="0" fontId="4" fillId="3" borderId="2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left" vertical="top" wrapText="1"/>
    </xf>
    <xf numFmtId="49" fontId="4" fillId="3" borderId="7" xfId="0" applyNumberFormat="1" applyFont="1" applyFill="1" applyBorder="1" applyAlignment="1">
      <alignment horizontal="center" vertical="top"/>
    </xf>
    <xf numFmtId="0" fontId="4" fillId="3" borderId="7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center" vertical="top" wrapText="1"/>
    </xf>
    <xf numFmtId="168" fontId="4" fillId="3" borderId="7" xfId="0" applyNumberFormat="1" applyFont="1" applyFill="1" applyBorder="1" applyAlignment="1">
      <alignment horizontal="left" vertical="top" wrapText="1"/>
    </xf>
    <xf numFmtId="49" fontId="4" fillId="3" borderId="2" xfId="0" applyNumberFormat="1" applyFont="1" applyFill="1" applyBorder="1" applyAlignment="1">
      <alignment horizontal="center" vertical="top"/>
    </xf>
    <xf numFmtId="49" fontId="4" fillId="3" borderId="6" xfId="0" applyNumberFormat="1" applyFont="1" applyFill="1" applyBorder="1" applyAlignment="1">
      <alignment horizontal="center" vertical="top"/>
    </xf>
    <xf numFmtId="0" fontId="4" fillId="3" borderId="15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3" borderId="12" xfId="0" applyFont="1" applyFill="1" applyBorder="1" applyAlignment="1">
      <alignment horizontal="left" vertical="top" wrapText="1"/>
    </xf>
    <xf numFmtId="49" fontId="4" fillId="2" borderId="10" xfId="0" applyNumberFormat="1" applyFont="1" applyFill="1" applyBorder="1" applyAlignment="1">
      <alignment horizontal="center" vertical="top"/>
    </xf>
    <xf numFmtId="2" fontId="4" fillId="2" borderId="2" xfId="0" applyNumberFormat="1" applyFont="1" applyFill="1" applyBorder="1" applyAlignment="1">
      <alignment horizontal="center" vertical="top" wrapText="1"/>
    </xf>
    <xf numFmtId="2" fontId="4" fillId="2" borderId="14" xfId="0" applyNumberFormat="1" applyFont="1" applyFill="1" applyBorder="1" applyAlignment="1">
      <alignment horizontal="center" vertical="top" wrapText="1"/>
    </xf>
    <xf numFmtId="49" fontId="4" fillId="2" borderId="14" xfId="0" applyNumberFormat="1" applyFont="1" applyFill="1" applyBorder="1" applyAlignment="1">
      <alignment horizontal="center" vertical="top"/>
    </xf>
    <xf numFmtId="0" fontId="4" fillId="2" borderId="20" xfId="0" applyFont="1" applyFill="1" applyBorder="1" applyAlignment="1">
      <alignment horizontal="left" vertical="top" wrapText="1"/>
    </xf>
    <xf numFmtId="0" fontId="4" fillId="2" borderId="20" xfId="0" applyFont="1" applyFill="1" applyBorder="1" applyAlignment="1">
      <alignment horizontal="center" vertical="top" wrapText="1"/>
    </xf>
    <xf numFmtId="49" fontId="4" fillId="2" borderId="7" xfId="0" applyNumberFormat="1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center" vertical="top" wrapText="1"/>
    </xf>
    <xf numFmtId="168" fontId="4" fillId="2" borderId="2" xfId="0" applyNumberFormat="1" applyFont="1" applyFill="1" applyBorder="1" applyAlignment="1">
      <alignment horizontal="left" vertical="top" wrapText="1"/>
    </xf>
    <xf numFmtId="168" fontId="4" fillId="2" borderId="7" xfId="0" applyNumberFormat="1" applyFont="1" applyFill="1" applyBorder="1" applyAlignment="1">
      <alignment horizontal="left" vertical="top" wrapText="1"/>
    </xf>
    <xf numFmtId="168" fontId="4" fillId="2" borderId="14" xfId="0" applyNumberFormat="1" applyFont="1" applyFill="1" applyBorder="1" applyAlignment="1">
      <alignment horizontal="left" vertical="top" wrapText="1"/>
    </xf>
    <xf numFmtId="168" fontId="4" fillId="2" borderId="6" xfId="0" applyNumberFormat="1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4" fontId="4" fillId="2" borderId="2" xfId="0" applyNumberFormat="1" applyFont="1" applyFill="1" applyBorder="1" applyAlignment="1">
      <alignment horizontal="center" vertical="top" wrapText="1"/>
    </xf>
    <xf numFmtId="4" fontId="4" fillId="2" borderId="14" xfId="0" applyNumberFormat="1" applyFont="1" applyFill="1" applyBorder="1" applyAlignment="1">
      <alignment horizontal="center" vertical="top" wrapText="1"/>
    </xf>
    <xf numFmtId="4" fontId="4" fillId="2" borderId="6" xfId="0" applyNumberFormat="1" applyFont="1" applyFill="1" applyBorder="1" applyAlignment="1">
      <alignment horizontal="center" vertical="top" wrapText="1"/>
    </xf>
    <xf numFmtId="168" fontId="4" fillId="2" borderId="2" xfId="0" applyNumberFormat="1" applyFont="1" applyFill="1" applyBorder="1" applyAlignment="1">
      <alignment horizontal="center" vertical="top" wrapText="1"/>
    </xf>
    <xf numFmtId="168" fontId="4" fillId="2" borderId="14" xfId="0" applyNumberFormat="1" applyFont="1" applyFill="1" applyBorder="1" applyAlignment="1">
      <alignment horizontal="center" vertical="top" wrapText="1"/>
    </xf>
    <xf numFmtId="168" fontId="4" fillId="2" borderId="6" xfId="0" applyNumberFormat="1" applyFont="1" applyFill="1" applyBorder="1" applyAlignment="1">
      <alignment horizontal="center" vertical="top" wrapText="1"/>
    </xf>
    <xf numFmtId="49" fontId="4" fillId="2" borderId="2" xfId="0" applyNumberFormat="1" applyFont="1" applyFill="1" applyBorder="1" applyAlignment="1">
      <alignment horizontal="center" vertical="top" wrapText="1"/>
    </xf>
    <xf numFmtId="49" fontId="4" fillId="2" borderId="14" xfId="0" applyNumberFormat="1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165" fontId="4" fillId="2" borderId="2" xfId="0" applyNumberFormat="1" applyFont="1" applyFill="1" applyBorder="1" applyAlignment="1">
      <alignment horizontal="center" vertical="top" wrapText="1"/>
    </xf>
    <xf numFmtId="165" fontId="4" fillId="2" borderId="14" xfId="0" applyNumberFormat="1" applyFont="1" applyFill="1" applyBorder="1" applyAlignment="1">
      <alignment horizontal="center" vertical="top" wrapText="1"/>
    </xf>
    <xf numFmtId="165" fontId="4" fillId="2" borderId="6" xfId="0" applyNumberFormat="1" applyFont="1" applyFill="1" applyBorder="1" applyAlignment="1">
      <alignment horizontal="center" vertical="top" wrapText="1"/>
    </xf>
    <xf numFmtId="166" fontId="4" fillId="2" borderId="2" xfId="0" applyNumberFormat="1" applyFont="1" applyFill="1" applyBorder="1" applyAlignment="1">
      <alignment horizontal="center" vertical="top" wrapText="1"/>
    </xf>
    <xf numFmtId="166" fontId="4" fillId="2" borderId="14" xfId="0" applyNumberFormat="1" applyFont="1" applyFill="1" applyBorder="1" applyAlignment="1">
      <alignment horizontal="center" vertical="top" wrapText="1"/>
    </xf>
    <xf numFmtId="166" fontId="4" fillId="2" borderId="6" xfId="0" applyNumberFormat="1" applyFont="1" applyFill="1" applyBorder="1" applyAlignment="1">
      <alignment horizontal="center" vertical="top" wrapText="1"/>
    </xf>
    <xf numFmtId="2" fontId="4" fillId="2" borderId="6" xfId="0" applyNumberFormat="1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4" fillId="2" borderId="19" xfId="0" applyFont="1" applyFill="1" applyBorder="1" applyAlignment="1">
      <alignment horizontal="center" vertical="top" wrapText="1"/>
    </xf>
    <xf numFmtId="0" fontId="4" fillId="2" borderId="21" xfId="0" applyFont="1" applyFill="1" applyBorder="1" applyAlignment="1">
      <alignment horizontal="center" vertical="top" wrapText="1"/>
    </xf>
    <xf numFmtId="0" fontId="4" fillId="2" borderId="19" xfId="0" applyFont="1" applyFill="1" applyBorder="1" applyAlignment="1">
      <alignment horizontal="left" vertical="top" wrapText="1"/>
    </xf>
    <xf numFmtId="0" fontId="4" fillId="2" borderId="21" xfId="0" applyFont="1" applyFill="1" applyBorder="1" applyAlignment="1">
      <alignment horizontal="left" vertical="top" wrapText="1"/>
    </xf>
    <xf numFmtId="168" fontId="4" fillId="2" borderId="11" xfId="0" applyNumberFormat="1" applyFont="1" applyFill="1" applyBorder="1" applyAlignment="1">
      <alignment horizontal="center" vertical="top" wrapText="1"/>
    </xf>
    <xf numFmtId="168" fontId="4" fillId="2" borderId="13" xfId="0" applyNumberFormat="1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2" fontId="4" fillId="2" borderId="11" xfId="0" applyNumberFormat="1" applyFont="1" applyFill="1" applyBorder="1" applyAlignment="1">
      <alignment horizontal="center" vertical="top" wrapText="1"/>
    </xf>
    <xf numFmtId="2" fontId="4" fillId="2" borderId="13" xfId="0" applyNumberFormat="1" applyFont="1" applyFill="1" applyBorder="1" applyAlignment="1">
      <alignment horizontal="center" vertical="top" wrapText="1"/>
    </xf>
    <xf numFmtId="2" fontId="4" fillId="2" borderId="12" xfId="0" applyNumberFormat="1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49" fontId="4" fillId="5" borderId="12" xfId="0" applyNumberFormat="1" applyFont="1" applyFill="1" applyBorder="1" applyAlignment="1">
      <alignment horizontal="center" vertical="top" wrapText="1"/>
    </xf>
    <xf numFmtId="165" fontId="4" fillId="5" borderId="7" xfId="0" applyNumberFormat="1" applyFont="1" applyFill="1" applyBorder="1" applyAlignment="1">
      <alignment horizontal="center" vertical="top" wrapText="1"/>
    </xf>
    <xf numFmtId="0" fontId="2" fillId="5" borderId="7" xfId="0" applyFont="1" applyFill="1" applyBorder="1"/>
    <xf numFmtId="166" fontId="4" fillId="5" borderId="6" xfId="0" applyNumberFormat="1" applyFont="1" applyFill="1" applyBorder="1" applyAlignment="1">
      <alignment horizontal="center" vertical="top" wrapText="1"/>
    </xf>
    <xf numFmtId="49" fontId="4" fillId="5" borderId="7" xfId="0" applyNumberFormat="1" applyFont="1" applyFill="1" applyBorder="1" applyAlignment="1">
      <alignment horizontal="center" vertical="center" wrapText="1"/>
    </xf>
    <xf numFmtId="165" fontId="4" fillId="5" borderId="7" xfId="1" applyNumberFormat="1" applyFont="1" applyFill="1" applyBorder="1" applyAlignment="1">
      <alignment horizontal="center" vertical="top" shrinkToFit="1"/>
    </xf>
    <xf numFmtId="0" fontId="4" fillId="5" borderId="7" xfId="0" applyFont="1" applyFill="1" applyBorder="1" applyAlignment="1">
      <alignment horizontal="center" vertical="center" wrapText="1"/>
    </xf>
    <xf numFmtId="165" fontId="4" fillId="5" borderId="7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grp365.org/reestr?egrp=47:07:1039001:169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236"/>
  <sheetViews>
    <sheetView tabSelected="1" view="pageBreakPreview" topLeftCell="A202" zoomScale="80" workbookViewId="0">
      <selection activeCell="J230" sqref="J230"/>
    </sheetView>
  </sheetViews>
  <sheetFormatPr defaultColWidth="8.85546875" defaultRowHeight="15.75" customHeight="1" x14ac:dyDescent="0.25"/>
  <cols>
    <col min="1" max="1" width="8.7109375" style="2" customWidth="1"/>
    <col min="2" max="2" width="44.28515625" style="3" customWidth="1"/>
    <col min="3" max="3" width="14.42578125" style="4" customWidth="1"/>
    <col min="4" max="4" width="12.28515625" style="5" customWidth="1"/>
    <col min="5" max="5" width="21.28515625" style="5" customWidth="1"/>
    <col min="6" max="6" width="17.85546875" style="3" customWidth="1"/>
    <col min="7" max="8" width="24.85546875" style="3" customWidth="1"/>
    <col min="9" max="9" width="16.85546875" style="3" customWidth="1"/>
    <col min="10" max="10" width="26.140625" style="3" customWidth="1"/>
    <col min="11" max="11" width="18.42578125" style="3" customWidth="1"/>
    <col min="12" max="12" width="20.7109375" style="3" customWidth="1"/>
    <col min="13" max="13" width="19.7109375" style="3" customWidth="1"/>
    <col min="14" max="14" width="16.28515625" style="3" customWidth="1"/>
    <col min="15" max="15" width="29.85546875" style="3" customWidth="1"/>
    <col min="16" max="16" width="1.85546875" style="3" hidden="1" customWidth="1"/>
    <col min="17" max="18" width="9.140625" style="3" hidden="1" customWidth="1"/>
    <col min="19" max="19" width="0.140625" style="3" hidden="1" customWidth="1"/>
    <col min="20" max="20" width="9.140625" style="3" hidden="1" customWidth="1"/>
    <col min="21" max="21" width="19.28515625" style="3" customWidth="1"/>
    <col min="22" max="22" width="20.7109375" style="3" customWidth="1"/>
    <col min="23" max="23" width="14.28515625" style="3" bestFit="1" customWidth="1"/>
    <col min="24" max="257" width="8.85546875" style="3" customWidth="1"/>
    <col min="258" max="16384" width="8.85546875" style="1"/>
  </cols>
  <sheetData>
    <row r="1" spans="1:22" ht="18.75" x14ac:dyDescent="0.25">
      <c r="A1" s="6"/>
      <c r="B1" s="6"/>
      <c r="C1" s="7"/>
      <c r="D1" s="6"/>
      <c r="E1" s="6"/>
      <c r="F1" s="6"/>
      <c r="G1" s="6"/>
      <c r="H1" s="6"/>
      <c r="I1" s="6"/>
      <c r="J1" s="6"/>
      <c r="K1" s="6"/>
      <c r="L1" s="6"/>
      <c r="M1" s="8" t="s">
        <v>0</v>
      </c>
      <c r="N1" s="6"/>
      <c r="O1" s="8"/>
      <c r="P1" s="8"/>
    </row>
    <row r="2" spans="1:22" ht="18.75" x14ac:dyDescent="0.25">
      <c r="A2" s="6"/>
      <c r="B2" s="6"/>
      <c r="C2" s="7"/>
      <c r="D2" s="9"/>
      <c r="E2" s="9"/>
      <c r="F2" s="6"/>
      <c r="G2" s="6"/>
      <c r="H2" s="6"/>
      <c r="I2" s="6"/>
      <c r="J2" s="6"/>
      <c r="K2" s="6"/>
      <c r="L2" s="6"/>
      <c r="M2" s="10" t="s">
        <v>1</v>
      </c>
      <c r="N2" s="10"/>
      <c r="O2" s="10"/>
      <c r="P2" s="8"/>
    </row>
    <row r="3" spans="1:22" ht="24" customHeight="1" x14ac:dyDescent="0.3">
      <c r="A3" s="6"/>
      <c r="B3" s="6"/>
      <c r="C3" s="7"/>
      <c r="D3" s="9"/>
      <c r="E3" s="9"/>
      <c r="F3" s="6"/>
      <c r="G3" s="6"/>
      <c r="H3" s="6"/>
      <c r="I3" s="6"/>
      <c r="J3" s="6"/>
      <c r="K3" s="6"/>
      <c r="L3" s="6"/>
      <c r="M3" s="10" t="s">
        <v>2</v>
      </c>
      <c r="N3" s="10"/>
      <c r="O3" s="10"/>
      <c r="P3" s="8"/>
      <c r="Q3" s="11"/>
      <c r="R3" s="11"/>
      <c r="S3" s="11"/>
    </row>
    <row r="4" spans="1:22" ht="19.899999999999999" customHeight="1" x14ac:dyDescent="0.3">
      <c r="A4" s="6"/>
      <c r="B4" s="6"/>
      <c r="C4" s="7"/>
      <c r="D4" s="9"/>
      <c r="E4" s="9"/>
      <c r="F4" s="6"/>
      <c r="G4" s="6"/>
      <c r="H4" s="6"/>
      <c r="I4" s="6"/>
      <c r="J4" s="6"/>
      <c r="K4" s="6"/>
      <c r="L4" s="6"/>
      <c r="M4" s="10" t="s">
        <v>3</v>
      </c>
      <c r="N4" s="10"/>
      <c r="O4" s="10"/>
      <c r="P4" s="8"/>
      <c r="Q4" s="11"/>
      <c r="R4" s="11"/>
      <c r="S4" s="11"/>
    </row>
    <row r="5" spans="1:22" ht="19.899999999999999" customHeight="1" x14ac:dyDescent="0.3">
      <c r="A5" s="6"/>
      <c r="B5" s="6"/>
      <c r="C5" s="7"/>
      <c r="D5" s="9"/>
      <c r="E5" s="9"/>
      <c r="F5" s="6"/>
      <c r="G5" s="6"/>
      <c r="H5" s="6"/>
      <c r="I5" s="6"/>
      <c r="J5" s="6"/>
      <c r="K5" s="6"/>
      <c r="L5" s="6"/>
      <c r="M5" s="10" t="s">
        <v>4</v>
      </c>
      <c r="N5" s="10"/>
      <c r="O5" s="10"/>
      <c r="P5" s="8"/>
      <c r="Q5" s="11"/>
      <c r="R5" s="11"/>
      <c r="S5" s="11"/>
    </row>
    <row r="6" spans="1:22" ht="19.899999999999999" customHeight="1" x14ac:dyDescent="0.3">
      <c r="A6" s="6"/>
      <c r="B6" s="6"/>
      <c r="C6" s="7"/>
      <c r="D6" s="9"/>
      <c r="E6" s="9"/>
      <c r="F6" s="6"/>
      <c r="G6" s="6"/>
      <c r="H6" s="6"/>
      <c r="I6" s="6"/>
      <c r="J6" s="6"/>
      <c r="K6" s="6"/>
      <c r="L6" s="6"/>
      <c r="M6" s="10" t="s">
        <v>5</v>
      </c>
      <c r="N6" s="10"/>
      <c r="O6" s="10"/>
      <c r="P6" s="8"/>
      <c r="Q6" s="11"/>
      <c r="R6" s="11"/>
      <c r="S6" s="11"/>
    </row>
    <row r="7" spans="1:22" ht="19.899999999999999" customHeight="1" x14ac:dyDescent="0.3">
      <c r="A7" s="6"/>
      <c r="B7" s="6"/>
      <c r="C7" s="7"/>
      <c r="D7" s="9"/>
      <c r="E7" s="9"/>
      <c r="F7" s="6"/>
      <c r="G7" s="6"/>
      <c r="H7" s="6"/>
      <c r="I7" s="6"/>
      <c r="J7" s="6"/>
      <c r="K7" s="6"/>
      <c r="L7" s="6"/>
      <c r="M7" s="10" t="s">
        <v>6</v>
      </c>
      <c r="N7" s="10"/>
      <c r="O7" s="10"/>
      <c r="P7" s="12"/>
      <c r="Q7" s="11"/>
      <c r="R7" s="11"/>
      <c r="S7" s="11"/>
    </row>
    <row r="8" spans="1:22" ht="19.899999999999999" customHeight="1" x14ac:dyDescent="0.3">
      <c r="A8" s="288" t="s">
        <v>7</v>
      </c>
      <c r="B8" s="288"/>
      <c r="C8" s="288"/>
      <c r="D8" s="288"/>
      <c r="E8" s="288"/>
      <c r="F8" s="288"/>
      <c r="G8" s="288"/>
      <c r="H8" s="288"/>
      <c r="I8" s="288"/>
      <c r="J8" s="288"/>
      <c r="K8" s="288"/>
      <c r="L8" s="288"/>
      <c r="M8" s="288"/>
      <c r="N8" s="288"/>
      <c r="O8" s="288"/>
      <c r="P8" s="8"/>
      <c r="Q8" s="11"/>
      <c r="R8" s="11"/>
      <c r="S8" s="11"/>
    </row>
    <row r="9" spans="1:22" ht="19.899999999999999" customHeight="1" x14ac:dyDescent="0.3">
      <c r="A9" s="288" t="s">
        <v>8</v>
      </c>
      <c r="B9" s="288"/>
      <c r="C9" s="288"/>
      <c r="D9" s="288"/>
      <c r="E9" s="288"/>
      <c r="F9" s="288"/>
      <c r="G9" s="288"/>
      <c r="H9" s="288"/>
      <c r="I9" s="288"/>
      <c r="J9" s="288"/>
      <c r="K9" s="288"/>
      <c r="L9" s="288"/>
      <c r="M9" s="288"/>
      <c r="N9" s="288"/>
      <c r="O9" s="288"/>
      <c r="P9" s="11"/>
      <c r="Q9" s="11"/>
      <c r="R9" s="11"/>
      <c r="S9" s="11"/>
    </row>
    <row r="10" spans="1:22" ht="19.899999999999999" customHeight="1" x14ac:dyDescent="0.3">
      <c r="A10" s="288" t="s">
        <v>9</v>
      </c>
      <c r="B10" s="288"/>
      <c r="C10" s="288"/>
      <c r="D10" s="288"/>
      <c r="E10" s="288"/>
      <c r="F10" s="288"/>
      <c r="G10" s="288"/>
      <c r="H10" s="288"/>
      <c r="I10" s="288"/>
      <c r="J10" s="288"/>
      <c r="K10" s="288"/>
      <c r="L10" s="288"/>
      <c r="M10" s="288"/>
      <c r="N10" s="288"/>
      <c r="O10" s="288"/>
      <c r="P10" s="11"/>
      <c r="Q10" s="11"/>
      <c r="R10" s="11"/>
      <c r="S10" s="11"/>
    </row>
    <row r="11" spans="1:22" ht="21" customHeight="1" x14ac:dyDescent="0.3">
      <c r="A11" s="13" t="s">
        <v>10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1"/>
      <c r="Q11" s="11"/>
      <c r="R11" s="11"/>
      <c r="S11" s="11"/>
    </row>
    <row r="12" spans="1:22" ht="90" customHeight="1" x14ac:dyDescent="0.3">
      <c r="A12" s="195" t="s">
        <v>11</v>
      </c>
      <c r="B12" s="195" t="s">
        <v>12</v>
      </c>
      <c r="C12" s="289" t="s">
        <v>13</v>
      </c>
      <c r="D12" s="195" t="s">
        <v>14</v>
      </c>
      <c r="E12" s="195" t="s">
        <v>15</v>
      </c>
      <c r="F12" s="195" t="s">
        <v>16</v>
      </c>
      <c r="G12" s="195" t="s">
        <v>17</v>
      </c>
      <c r="H12" s="14" t="s">
        <v>18</v>
      </c>
      <c r="I12" s="195" t="s">
        <v>19</v>
      </c>
      <c r="J12" s="249" t="s">
        <v>20</v>
      </c>
      <c r="K12" s="250"/>
      <c r="L12" s="250"/>
      <c r="M12" s="250"/>
      <c r="N12" s="251"/>
      <c r="O12" s="195" t="s">
        <v>21</v>
      </c>
      <c r="P12" s="11"/>
      <c r="Q12" s="11"/>
      <c r="R12" s="11"/>
      <c r="S12" s="11"/>
      <c r="V12" s="15"/>
    </row>
    <row r="13" spans="1:22" ht="91.5" customHeight="1" x14ac:dyDescent="0.3">
      <c r="A13" s="198"/>
      <c r="B13" s="198"/>
      <c r="C13" s="290"/>
      <c r="D13" s="198"/>
      <c r="E13" s="198"/>
      <c r="F13" s="198"/>
      <c r="G13" s="198"/>
      <c r="H13" s="16"/>
      <c r="I13" s="198"/>
      <c r="J13" s="14" t="s">
        <v>22</v>
      </c>
      <c r="K13" s="14" t="s">
        <v>23</v>
      </c>
      <c r="L13" s="14" t="s">
        <v>24</v>
      </c>
      <c r="M13" s="14" t="s">
        <v>25</v>
      </c>
      <c r="N13" s="14" t="s">
        <v>26</v>
      </c>
      <c r="O13" s="198"/>
      <c r="P13" s="11"/>
      <c r="Q13" s="11"/>
      <c r="R13" s="11"/>
      <c r="S13" s="11"/>
    </row>
    <row r="14" spans="1:22" s="17" customFormat="1" ht="21" customHeight="1" x14ac:dyDescent="0.3">
      <c r="A14" s="18">
        <v>1</v>
      </c>
      <c r="B14" s="18">
        <v>2</v>
      </c>
      <c r="C14" s="18">
        <v>3</v>
      </c>
      <c r="D14" s="18">
        <v>4</v>
      </c>
      <c r="E14" s="18">
        <v>5</v>
      </c>
      <c r="F14" s="18">
        <v>6</v>
      </c>
      <c r="G14" s="18">
        <v>7</v>
      </c>
      <c r="H14" s="18">
        <v>8</v>
      </c>
      <c r="I14" s="18">
        <v>9</v>
      </c>
      <c r="J14" s="18">
        <v>10</v>
      </c>
      <c r="K14" s="18">
        <v>11</v>
      </c>
      <c r="L14" s="18">
        <v>12</v>
      </c>
      <c r="M14" s="18">
        <v>13</v>
      </c>
      <c r="N14" s="18">
        <v>14</v>
      </c>
      <c r="O14" s="18">
        <v>15</v>
      </c>
      <c r="P14" s="19"/>
      <c r="Q14" s="19"/>
      <c r="R14" s="19"/>
      <c r="S14" s="19"/>
    </row>
    <row r="15" spans="1:22" s="3" customFormat="1" ht="21" customHeight="1" x14ac:dyDescent="0.3">
      <c r="A15" s="283" t="s">
        <v>27</v>
      </c>
      <c r="B15" s="284"/>
      <c r="C15" s="284"/>
      <c r="D15" s="284"/>
      <c r="E15" s="284"/>
      <c r="F15" s="284"/>
      <c r="G15" s="284"/>
      <c r="H15" s="284"/>
      <c r="I15" s="250"/>
      <c r="J15" s="250"/>
      <c r="K15" s="250"/>
      <c r="L15" s="250"/>
      <c r="M15" s="250"/>
      <c r="N15" s="250"/>
      <c r="O15" s="251"/>
      <c r="P15" s="11"/>
      <c r="Q15" s="11"/>
      <c r="R15" s="11"/>
      <c r="S15" s="11"/>
    </row>
    <row r="16" spans="1:22" ht="28.5" customHeight="1" x14ac:dyDescent="0.35">
      <c r="A16" s="233" t="s">
        <v>28</v>
      </c>
      <c r="B16" s="211" t="s">
        <v>29</v>
      </c>
      <c r="C16" s="212">
        <v>48</v>
      </c>
      <c r="D16" s="212" t="s">
        <v>30</v>
      </c>
      <c r="E16" s="211" t="s">
        <v>31</v>
      </c>
      <c r="F16" s="211" t="s">
        <v>32</v>
      </c>
      <c r="G16" s="211" t="s">
        <v>33</v>
      </c>
      <c r="H16" s="211" t="s">
        <v>34</v>
      </c>
      <c r="I16" s="20" t="s">
        <v>35</v>
      </c>
      <c r="J16" s="21">
        <f t="shared" ref="J16:J17" si="0">SUM(K16:N16)</f>
        <v>111139.8</v>
      </c>
      <c r="K16" s="21"/>
      <c r="L16" s="21">
        <v>103360</v>
      </c>
      <c r="M16" s="21">
        <v>7779.8</v>
      </c>
      <c r="N16" s="22"/>
      <c r="O16" s="285">
        <f>12407.49509+35100.56+7953.35+6179.57</f>
        <v>61640.975089999993</v>
      </c>
      <c r="U16" s="23"/>
    </row>
    <row r="17" spans="1:21" ht="19.5" customHeight="1" x14ac:dyDescent="0.35">
      <c r="A17" s="233"/>
      <c r="B17" s="211"/>
      <c r="C17" s="212"/>
      <c r="D17" s="212"/>
      <c r="E17" s="211"/>
      <c r="F17" s="211"/>
      <c r="G17" s="211"/>
      <c r="H17" s="211"/>
      <c r="I17" s="24" t="s">
        <v>36</v>
      </c>
      <c r="J17" s="21">
        <f t="shared" si="0"/>
        <v>45344.299999999901</v>
      </c>
      <c r="K17" s="25"/>
      <c r="L17" s="25">
        <f>11491.6+(29212.5999999999+1466)</f>
        <v>42170.199999999903</v>
      </c>
      <c r="M17" s="25">
        <v>3174.1</v>
      </c>
      <c r="N17" s="26"/>
      <c r="O17" s="286"/>
      <c r="U17" s="23"/>
    </row>
    <row r="18" spans="1:21" ht="24" customHeight="1" x14ac:dyDescent="0.35">
      <c r="A18" s="233"/>
      <c r="B18" s="211"/>
      <c r="C18" s="212"/>
      <c r="D18" s="212"/>
      <c r="E18" s="211"/>
      <c r="F18" s="211"/>
      <c r="G18" s="211"/>
      <c r="H18" s="211"/>
      <c r="I18" s="24" t="s">
        <v>37</v>
      </c>
      <c r="J18" s="21">
        <f>L18*100/92</f>
        <v>70953.14130434762</v>
      </c>
      <c r="K18" s="25"/>
      <c r="L18" s="25">
        <f>23106.6899999999+42170.1999999999</f>
        <v>65276.889999999803</v>
      </c>
      <c r="M18" s="25">
        <f>J18-L18</f>
        <v>5676.2513043478175</v>
      </c>
      <c r="N18" s="26"/>
      <c r="O18" s="286"/>
      <c r="U18" s="23"/>
    </row>
    <row r="19" spans="1:21" ht="18.75" customHeight="1" x14ac:dyDescent="0.35">
      <c r="A19" s="233"/>
      <c r="B19" s="211"/>
      <c r="C19" s="212"/>
      <c r="D19" s="212"/>
      <c r="E19" s="211"/>
      <c r="F19" s="211"/>
      <c r="G19" s="211"/>
      <c r="H19" s="211"/>
      <c r="I19" s="24" t="s">
        <v>38</v>
      </c>
      <c r="J19" s="21">
        <f t="shared" ref="J19:J21" si="1">SUM(L19:M19)</f>
        <v>142070.19</v>
      </c>
      <c r="K19" s="25"/>
      <c r="L19" s="25">
        <v>132125.26999999999</v>
      </c>
      <c r="M19" s="25">
        <v>9944.92</v>
      </c>
      <c r="N19" s="26"/>
      <c r="O19" s="286"/>
      <c r="U19" s="23" t="s">
        <v>39</v>
      </c>
    </row>
    <row r="20" spans="1:21" ht="24.75" customHeight="1" x14ac:dyDescent="0.35">
      <c r="A20" s="233"/>
      <c r="B20" s="211"/>
      <c r="C20" s="212"/>
      <c r="D20" s="212"/>
      <c r="E20" s="211"/>
      <c r="F20" s="211"/>
      <c r="G20" s="211"/>
      <c r="H20" s="211"/>
      <c r="I20" s="24" t="s">
        <v>40</v>
      </c>
      <c r="J20" s="21">
        <f t="shared" si="1"/>
        <v>52370</v>
      </c>
      <c r="K20" s="25"/>
      <c r="L20" s="25">
        <v>48180</v>
      </c>
      <c r="M20" s="25">
        <v>4190</v>
      </c>
      <c r="N20" s="26"/>
      <c r="O20" s="286"/>
      <c r="U20" s="23"/>
    </row>
    <row r="21" spans="1:21" ht="187.5" customHeight="1" x14ac:dyDescent="0.35">
      <c r="A21" s="233"/>
      <c r="B21" s="211"/>
      <c r="C21" s="212"/>
      <c r="D21" s="212"/>
      <c r="E21" s="211"/>
      <c r="F21" s="211"/>
      <c r="G21" s="211"/>
      <c r="H21" s="211"/>
      <c r="I21" s="24" t="s">
        <v>41</v>
      </c>
      <c r="J21" s="21">
        <f t="shared" si="1"/>
        <v>122170</v>
      </c>
      <c r="K21" s="25"/>
      <c r="L21" s="25">
        <v>112396</v>
      </c>
      <c r="M21" s="25">
        <v>9774</v>
      </c>
      <c r="N21" s="26"/>
      <c r="O21" s="286"/>
      <c r="U21" s="23"/>
    </row>
    <row r="22" spans="1:21" ht="24" customHeight="1" x14ac:dyDescent="0.25">
      <c r="A22" s="27" t="s">
        <v>42</v>
      </c>
      <c r="B22" s="189" t="s">
        <v>43</v>
      </c>
      <c r="C22" s="190"/>
      <c r="D22" s="190"/>
      <c r="E22" s="190"/>
      <c r="F22" s="190"/>
      <c r="G22" s="190"/>
      <c r="H22" s="191"/>
      <c r="I22" s="28"/>
      <c r="J22" s="22"/>
      <c r="K22" s="26"/>
      <c r="L22" s="26"/>
      <c r="M22" s="26"/>
      <c r="N22" s="26"/>
      <c r="O22" s="286"/>
    </row>
    <row r="23" spans="1:21" ht="30.75" customHeight="1" x14ac:dyDescent="0.25">
      <c r="A23" s="216" t="s">
        <v>44</v>
      </c>
      <c r="B23" s="180" t="s">
        <v>45</v>
      </c>
      <c r="C23" s="181"/>
      <c r="D23" s="181"/>
      <c r="E23" s="181"/>
      <c r="F23" s="181"/>
      <c r="G23" s="181"/>
      <c r="H23" s="181"/>
      <c r="I23" s="30" t="s">
        <v>35</v>
      </c>
      <c r="J23" s="21">
        <f t="shared" ref="J23:J29" si="2">SUM(K23:N23)</f>
        <v>111139.8</v>
      </c>
      <c r="K23" s="21"/>
      <c r="L23" s="21">
        <v>103360</v>
      </c>
      <c r="M23" s="21">
        <v>7779.8</v>
      </c>
      <c r="N23" s="22"/>
      <c r="O23" s="286"/>
    </row>
    <row r="24" spans="1:21" ht="25.5" customHeight="1" x14ac:dyDescent="0.25">
      <c r="A24" s="236"/>
      <c r="B24" s="183"/>
      <c r="C24" s="184"/>
      <c r="D24" s="184"/>
      <c r="E24" s="184"/>
      <c r="F24" s="184"/>
      <c r="G24" s="184"/>
      <c r="H24" s="184"/>
      <c r="I24" s="30" t="s">
        <v>36</v>
      </c>
      <c r="J24" s="21">
        <f t="shared" si="2"/>
        <v>45344.299999999996</v>
      </c>
      <c r="K24" s="21"/>
      <c r="L24" s="25">
        <v>42170.2</v>
      </c>
      <c r="M24" s="25">
        <v>3174.1</v>
      </c>
      <c r="N24" s="22"/>
      <c r="O24" s="286"/>
    </row>
    <row r="25" spans="1:21" ht="25.5" customHeight="1" x14ac:dyDescent="0.25">
      <c r="A25" s="236"/>
      <c r="B25" s="183"/>
      <c r="C25" s="184"/>
      <c r="D25" s="184"/>
      <c r="E25" s="184"/>
      <c r="F25" s="184"/>
      <c r="G25" s="184"/>
      <c r="H25" s="184"/>
      <c r="I25" s="30" t="s">
        <v>37</v>
      </c>
      <c r="J25" s="21">
        <f t="shared" si="2"/>
        <v>70953.14130434762</v>
      </c>
      <c r="K25" s="21"/>
      <c r="L25" s="25">
        <f>23106.6899999999+42170.1999999999</f>
        <v>65276.889999999803</v>
      </c>
      <c r="M25" s="25">
        <f>M18</f>
        <v>5676.2513043478175</v>
      </c>
      <c r="N25" s="22"/>
      <c r="O25" s="286"/>
    </row>
    <row r="26" spans="1:21" ht="25.5" customHeight="1" x14ac:dyDescent="0.25">
      <c r="A26" s="236"/>
      <c r="B26" s="183"/>
      <c r="C26" s="184"/>
      <c r="D26" s="184"/>
      <c r="E26" s="184"/>
      <c r="F26" s="184"/>
      <c r="G26" s="184"/>
      <c r="H26" s="184"/>
      <c r="I26" s="32" t="s">
        <v>38</v>
      </c>
      <c r="J26" s="33">
        <f t="shared" si="2"/>
        <v>142070.19</v>
      </c>
      <c r="K26" s="33"/>
      <c r="L26" s="34">
        <v>132125.26999999999</v>
      </c>
      <c r="M26" s="34">
        <v>9944.92</v>
      </c>
      <c r="N26" s="35"/>
      <c r="O26" s="286"/>
    </row>
    <row r="27" spans="1:21" ht="25.5" customHeight="1" x14ac:dyDescent="0.25">
      <c r="A27" s="27"/>
      <c r="B27" s="183"/>
      <c r="C27" s="184"/>
      <c r="D27" s="184"/>
      <c r="E27" s="184"/>
      <c r="F27" s="184"/>
      <c r="G27" s="184"/>
      <c r="H27" s="184"/>
      <c r="I27" s="36" t="s">
        <v>40</v>
      </c>
      <c r="J27" s="37">
        <f t="shared" si="2"/>
        <v>52370</v>
      </c>
      <c r="K27" s="38"/>
      <c r="L27" s="38">
        <v>48180</v>
      </c>
      <c r="M27" s="38">
        <v>4190</v>
      </c>
      <c r="N27" s="39"/>
      <c r="O27" s="286"/>
    </row>
    <row r="28" spans="1:21" ht="25.5" customHeight="1" x14ac:dyDescent="0.25">
      <c r="A28" s="27"/>
      <c r="B28" s="183"/>
      <c r="C28" s="184"/>
      <c r="D28" s="184"/>
      <c r="E28" s="184"/>
      <c r="F28" s="184"/>
      <c r="G28" s="184"/>
      <c r="H28" s="184"/>
      <c r="I28" s="40" t="s">
        <v>41</v>
      </c>
      <c r="J28" s="33">
        <f t="shared" si="2"/>
        <v>122170</v>
      </c>
      <c r="K28" s="41"/>
      <c r="L28" s="25">
        <v>112396</v>
      </c>
      <c r="M28" s="25">
        <v>9774</v>
      </c>
      <c r="N28" s="42"/>
      <c r="O28" s="287"/>
    </row>
    <row r="29" spans="1:21" ht="29.25" customHeight="1" x14ac:dyDescent="0.25">
      <c r="A29" s="233" t="s">
        <v>46</v>
      </c>
      <c r="B29" s="211" t="s">
        <v>47</v>
      </c>
      <c r="C29" s="212">
        <v>149</v>
      </c>
      <c r="D29" s="277" t="s">
        <v>48</v>
      </c>
      <c r="E29" s="211" t="s">
        <v>49</v>
      </c>
      <c r="F29" s="211" t="s">
        <v>50</v>
      </c>
      <c r="G29" s="279" t="s">
        <v>51</v>
      </c>
      <c r="H29" s="211" t="s">
        <v>52</v>
      </c>
      <c r="I29" s="40" t="s">
        <v>35</v>
      </c>
      <c r="J29" s="38">
        <f t="shared" si="2"/>
        <v>226309.17999999982</v>
      </c>
      <c r="K29" s="43"/>
      <c r="L29" s="44">
        <f>15632+44923+14891.1+(2742.54+34965.9499999999)</f>
        <v>113154.58999999991</v>
      </c>
      <c r="M29" s="44">
        <f>15632+44923+14891.1+(2742.54+34965.9499999999)</f>
        <v>113154.58999999991</v>
      </c>
      <c r="N29" s="45"/>
      <c r="O29" s="281">
        <f>47787.80183+60255.90437+226073.08+346237.37+65132.66</f>
        <v>745486.8162</v>
      </c>
    </row>
    <row r="30" spans="1:21" ht="24.75" customHeight="1" x14ac:dyDescent="0.25">
      <c r="A30" s="233"/>
      <c r="B30" s="211"/>
      <c r="C30" s="212"/>
      <c r="D30" s="278"/>
      <c r="E30" s="211"/>
      <c r="F30" s="211"/>
      <c r="G30" s="280"/>
      <c r="H30" s="211"/>
      <c r="I30" s="40" t="s">
        <v>36</v>
      </c>
      <c r="J30" s="38">
        <f t="shared" ref="J30:J33" si="3">SUM(K30:M30)</f>
        <v>62335.839999999997</v>
      </c>
      <c r="K30" s="43"/>
      <c r="L30" s="46">
        <v>31167.919999999998</v>
      </c>
      <c r="M30" s="46">
        <v>31167.919999999998</v>
      </c>
      <c r="N30" s="45"/>
      <c r="O30" s="282"/>
    </row>
    <row r="31" spans="1:21" ht="24" customHeight="1" x14ac:dyDescent="0.25">
      <c r="A31" s="233"/>
      <c r="B31" s="211"/>
      <c r="C31" s="212"/>
      <c r="D31" s="278"/>
      <c r="E31" s="211"/>
      <c r="F31" s="211"/>
      <c r="G31" s="280"/>
      <c r="H31" s="211"/>
      <c r="I31" s="40" t="s">
        <v>37</v>
      </c>
      <c r="J31" s="38">
        <f t="shared" si="3"/>
        <v>346237.35999999964</v>
      </c>
      <c r="K31" s="43"/>
      <c r="L31" s="46">
        <f>104952.67+31167.9199999999+36998.0899999999</f>
        <v>173118.67999999982</v>
      </c>
      <c r="M31" s="46">
        <f>104952.67+31167.9199999999+36998.0899999999</f>
        <v>173118.67999999982</v>
      </c>
      <c r="N31" s="45"/>
      <c r="O31" s="282"/>
    </row>
    <row r="32" spans="1:21" ht="30.75" customHeight="1" x14ac:dyDescent="0.25">
      <c r="A32" s="233"/>
      <c r="B32" s="211"/>
      <c r="C32" s="212"/>
      <c r="D32" s="278"/>
      <c r="E32" s="211"/>
      <c r="F32" s="211"/>
      <c r="G32" s="280"/>
      <c r="H32" s="211"/>
      <c r="I32" s="40" t="s">
        <v>38</v>
      </c>
      <c r="J32" s="38">
        <f t="shared" si="3"/>
        <v>122798.48</v>
      </c>
      <c r="K32" s="43"/>
      <c r="L32" s="46">
        <v>61399.24</v>
      </c>
      <c r="M32" s="46">
        <v>61399.24</v>
      </c>
      <c r="N32" s="45"/>
      <c r="O32" s="282"/>
    </row>
    <row r="33" spans="1:15" ht="333.75" customHeight="1" x14ac:dyDescent="0.25">
      <c r="A33" s="233"/>
      <c r="B33" s="211"/>
      <c r="C33" s="212"/>
      <c r="D33" s="238"/>
      <c r="E33" s="211"/>
      <c r="F33" s="211"/>
      <c r="G33" s="237"/>
      <c r="H33" s="211"/>
      <c r="I33" s="40" t="s">
        <v>40</v>
      </c>
      <c r="J33" s="38">
        <f t="shared" si="3"/>
        <v>14493.44</v>
      </c>
      <c r="K33" s="47"/>
      <c r="L33" s="46">
        <v>7246.72</v>
      </c>
      <c r="M33" s="46">
        <v>7246.72</v>
      </c>
      <c r="N33" s="45"/>
      <c r="O33" s="282"/>
    </row>
    <row r="34" spans="1:15" ht="30" customHeight="1" x14ac:dyDescent="0.25">
      <c r="A34" s="27" t="s">
        <v>53</v>
      </c>
      <c r="B34" s="189" t="s">
        <v>43</v>
      </c>
      <c r="C34" s="190"/>
      <c r="D34" s="190"/>
      <c r="E34" s="190"/>
      <c r="F34" s="190"/>
      <c r="G34" s="190"/>
      <c r="H34" s="191"/>
      <c r="I34" s="28"/>
      <c r="J34" s="26"/>
      <c r="K34" s="48"/>
      <c r="L34" s="26"/>
      <c r="M34" s="26"/>
      <c r="N34" s="49"/>
      <c r="O34" s="282"/>
    </row>
    <row r="35" spans="1:15" ht="25.5" customHeight="1" x14ac:dyDescent="0.25">
      <c r="A35" s="216" t="s">
        <v>54</v>
      </c>
      <c r="B35" s="180" t="s">
        <v>45</v>
      </c>
      <c r="C35" s="181"/>
      <c r="D35" s="181"/>
      <c r="E35" s="181"/>
      <c r="F35" s="181"/>
      <c r="G35" s="181"/>
      <c r="H35" s="182"/>
      <c r="I35" s="30" t="s">
        <v>35</v>
      </c>
      <c r="J35" s="21">
        <f t="shared" ref="J35:J45" si="4">SUM(K35:N35)</f>
        <v>226309.17999999982</v>
      </c>
      <c r="K35" s="50"/>
      <c r="L35" s="51">
        <f>15632+44923+14891.1+(2742.54+34965.9499999999)</f>
        <v>113154.58999999991</v>
      </c>
      <c r="M35" s="51">
        <f>15632+44923+14891.1+(2742.54+34965.9499999999)</f>
        <v>113154.58999999991</v>
      </c>
      <c r="N35" s="52"/>
      <c r="O35" s="282"/>
    </row>
    <row r="36" spans="1:15" ht="26.25" customHeight="1" x14ac:dyDescent="0.25">
      <c r="A36" s="236"/>
      <c r="B36" s="183"/>
      <c r="C36" s="184"/>
      <c r="D36" s="184"/>
      <c r="E36" s="184"/>
      <c r="F36" s="184"/>
      <c r="G36" s="184"/>
      <c r="H36" s="185"/>
      <c r="I36" s="30" t="s">
        <v>36</v>
      </c>
      <c r="J36" s="21">
        <f t="shared" si="4"/>
        <v>62335.839999999997</v>
      </c>
      <c r="K36" s="50"/>
      <c r="L36" s="51">
        <v>31167.919999999998</v>
      </c>
      <c r="M36" s="51">
        <v>31167.919999999998</v>
      </c>
      <c r="N36" s="52"/>
      <c r="O36" s="282"/>
    </row>
    <row r="37" spans="1:15" ht="26.25" customHeight="1" x14ac:dyDescent="0.25">
      <c r="A37" s="236"/>
      <c r="B37" s="183"/>
      <c r="C37" s="184"/>
      <c r="D37" s="184"/>
      <c r="E37" s="184"/>
      <c r="F37" s="184"/>
      <c r="G37" s="184"/>
      <c r="H37" s="185"/>
      <c r="I37" s="30" t="s">
        <v>37</v>
      </c>
      <c r="J37" s="21">
        <f t="shared" si="4"/>
        <v>346237.36</v>
      </c>
      <c r="K37" s="50"/>
      <c r="L37" s="53">
        <v>173118.68</v>
      </c>
      <c r="M37" s="53">
        <v>173118.68</v>
      </c>
      <c r="N37" s="52"/>
      <c r="O37" s="282"/>
    </row>
    <row r="38" spans="1:15" ht="26.25" customHeight="1" x14ac:dyDescent="0.25">
      <c r="A38" s="236"/>
      <c r="B38" s="183"/>
      <c r="C38" s="184"/>
      <c r="D38" s="184"/>
      <c r="E38" s="184"/>
      <c r="F38" s="184"/>
      <c r="G38" s="184"/>
      <c r="H38" s="185"/>
      <c r="I38" s="30" t="s">
        <v>38</v>
      </c>
      <c r="J38" s="21">
        <f t="shared" si="4"/>
        <v>122798.48</v>
      </c>
      <c r="K38" s="50"/>
      <c r="L38" s="54">
        <v>61399.24</v>
      </c>
      <c r="M38" s="54">
        <v>61399.24</v>
      </c>
      <c r="N38" s="52"/>
      <c r="O38" s="282"/>
    </row>
    <row r="39" spans="1:15" ht="26.25" customHeight="1" x14ac:dyDescent="0.25">
      <c r="A39" s="236"/>
      <c r="B39" s="183"/>
      <c r="C39" s="184"/>
      <c r="D39" s="184"/>
      <c r="E39" s="184"/>
      <c r="F39" s="184"/>
      <c r="G39" s="184"/>
      <c r="H39" s="185"/>
      <c r="I39" s="28" t="s">
        <v>40</v>
      </c>
      <c r="J39" s="55">
        <f t="shared" si="4"/>
        <v>14493.44</v>
      </c>
      <c r="K39" s="56"/>
      <c r="L39" s="46">
        <v>7246.72</v>
      </c>
      <c r="M39" s="46">
        <v>7246.72</v>
      </c>
      <c r="N39" s="57"/>
      <c r="O39" s="282"/>
    </row>
    <row r="40" spans="1:15" ht="27" customHeight="1" x14ac:dyDescent="0.25">
      <c r="A40" s="216" t="s">
        <v>55</v>
      </c>
      <c r="B40" s="240" t="s">
        <v>56</v>
      </c>
      <c r="C40" s="242">
        <v>80</v>
      </c>
      <c r="D40" s="242" t="s">
        <v>57</v>
      </c>
      <c r="E40" s="241" t="s">
        <v>58</v>
      </c>
      <c r="F40" s="276" t="s">
        <v>59</v>
      </c>
      <c r="G40" s="240" t="s">
        <v>60</v>
      </c>
      <c r="H40" s="240" t="s">
        <v>61</v>
      </c>
      <c r="I40" s="28" t="s">
        <v>36</v>
      </c>
      <c r="J40" s="21">
        <f t="shared" si="4"/>
        <v>9300</v>
      </c>
      <c r="K40" s="25"/>
      <c r="L40" s="25">
        <v>9300</v>
      </c>
      <c r="M40" s="59"/>
      <c r="N40" s="26"/>
      <c r="O40" s="234">
        <f>9899.58+152676.44+172363.32</f>
        <v>334939.33999999997</v>
      </c>
    </row>
    <row r="41" spans="1:15" ht="22.5" customHeight="1" x14ac:dyDescent="0.25">
      <c r="A41" s="236"/>
      <c r="B41" s="267"/>
      <c r="C41" s="242"/>
      <c r="D41" s="242"/>
      <c r="E41" s="241"/>
      <c r="F41" s="276"/>
      <c r="G41" s="267"/>
      <c r="H41" s="267"/>
      <c r="I41" s="28" t="s">
        <v>37</v>
      </c>
      <c r="J41" s="21">
        <f t="shared" si="4"/>
        <v>162666.44000000099</v>
      </c>
      <c r="K41" s="25"/>
      <c r="L41" s="25">
        <f>368000-142097.679999999-85440+9990</f>
        <v>150452.320000001</v>
      </c>
      <c r="M41" s="25">
        <v>12214.12</v>
      </c>
      <c r="N41" s="26"/>
      <c r="O41" s="235"/>
    </row>
    <row r="42" spans="1:15" ht="28.5" customHeight="1" x14ac:dyDescent="0.25">
      <c r="A42" s="236"/>
      <c r="B42" s="267"/>
      <c r="C42" s="242"/>
      <c r="D42" s="242"/>
      <c r="E42" s="241"/>
      <c r="F42" s="276"/>
      <c r="G42" s="267"/>
      <c r="H42" s="267"/>
      <c r="I42" s="28" t="s">
        <v>38</v>
      </c>
      <c r="J42" s="21">
        <f t="shared" si="4"/>
        <v>172363.32</v>
      </c>
      <c r="K42" s="25"/>
      <c r="L42" s="25">
        <v>158574.25</v>
      </c>
      <c r="M42" s="25">
        <v>13789.07</v>
      </c>
      <c r="N42" s="26"/>
      <c r="O42" s="235"/>
    </row>
    <row r="43" spans="1:15" ht="190.5" customHeight="1" x14ac:dyDescent="0.25">
      <c r="A43" s="217"/>
      <c r="B43" s="268"/>
      <c r="C43" s="242"/>
      <c r="D43" s="242"/>
      <c r="E43" s="241"/>
      <c r="F43" s="276"/>
      <c r="G43" s="268"/>
      <c r="H43" s="268"/>
      <c r="I43" s="28" t="s">
        <v>40</v>
      </c>
      <c r="J43" s="21">
        <f t="shared" si="4"/>
        <v>303951.42</v>
      </c>
      <c r="K43" s="25"/>
      <c r="L43" s="25">
        <v>276595.78999999998</v>
      </c>
      <c r="M43" s="25">
        <v>27355.63</v>
      </c>
      <c r="N43" s="26"/>
      <c r="O43" s="235"/>
    </row>
    <row r="44" spans="1:15" ht="23.25" customHeight="1" x14ac:dyDescent="0.25">
      <c r="A44" s="216" t="s">
        <v>62</v>
      </c>
      <c r="B44" s="180" t="s">
        <v>43</v>
      </c>
      <c r="C44" s="181"/>
      <c r="D44" s="181"/>
      <c r="E44" s="181"/>
      <c r="F44" s="181"/>
      <c r="G44" s="181"/>
      <c r="H44" s="182"/>
      <c r="I44" s="28" t="s">
        <v>36</v>
      </c>
      <c r="J44" s="21">
        <f t="shared" si="4"/>
        <v>9300</v>
      </c>
      <c r="K44" s="25"/>
      <c r="L44" s="25">
        <v>9300</v>
      </c>
      <c r="M44" s="25"/>
      <c r="N44" s="26"/>
      <c r="O44" s="235"/>
    </row>
    <row r="45" spans="1:15" ht="23.25" customHeight="1" x14ac:dyDescent="0.25">
      <c r="A45" s="217"/>
      <c r="B45" s="189"/>
      <c r="C45" s="190"/>
      <c r="D45" s="190"/>
      <c r="E45" s="190"/>
      <c r="F45" s="190"/>
      <c r="G45" s="190"/>
      <c r="H45" s="191"/>
      <c r="I45" s="28" t="s">
        <v>37</v>
      </c>
      <c r="J45" s="21">
        <f t="shared" si="4"/>
        <v>9990</v>
      </c>
      <c r="K45" s="25"/>
      <c r="L45" s="25">
        <v>9990</v>
      </c>
      <c r="M45" s="25"/>
      <c r="N45" s="26"/>
      <c r="O45" s="235"/>
    </row>
    <row r="46" spans="1:15" ht="26.25" customHeight="1" x14ac:dyDescent="0.25">
      <c r="A46" s="216" t="s">
        <v>63</v>
      </c>
      <c r="B46" s="180" t="s">
        <v>45</v>
      </c>
      <c r="C46" s="181"/>
      <c r="D46" s="181"/>
      <c r="E46" s="181"/>
      <c r="F46" s="181"/>
      <c r="G46" s="181"/>
      <c r="H46" s="182"/>
      <c r="I46" s="28" t="s">
        <v>37</v>
      </c>
      <c r="J46" s="21">
        <f t="shared" ref="J46:J47" si="5">SUM(L46:M46)</f>
        <v>152676.44</v>
      </c>
      <c r="K46" s="25"/>
      <c r="L46" s="25">
        <v>140462.32</v>
      </c>
      <c r="M46" s="25">
        <v>12214.12</v>
      </c>
      <c r="N46" s="26"/>
      <c r="O46" s="235"/>
    </row>
    <row r="47" spans="1:15" ht="24.75" customHeight="1" x14ac:dyDescent="0.25">
      <c r="A47" s="236"/>
      <c r="B47" s="183"/>
      <c r="C47" s="184"/>
      <c r="D47" s="184"/>
      <c r="E47" s="184"/>
      <c r="F47" s="184"/>
      <c r="G47" s="184"/>
      <c r="H47" s="185"/>
      <c r="I47" s="28" t="s">
        <v>38</v>
      </c>
      <c r="J47" s="21">
        <f t="shared" si="5"/>
        <v>172363.32</v>
      </c>
      <c r="K47" s="25"/>
      <c r="L47" s="25">
        <v>158574.25</v>
      </c>
      <c r="M47" s="25">
        <v>13789.07</v>
      </c>
      <c r="N47" s="26"/>
      <c r="O47" s="235"/>
    </row>
    <row r="48" spans="1:15" ht="24.75" customHeight="1" x14ac:dyDescent="0.25">
      <c r="A48" s="236"/>
      <c r="B48" s="183"/>
      <c r="C48" s="184"/>
      <c r="D48" s="184"/>
      <c r="E48" s="184"/>
      <c r="F48" s="184"/>
      <c r="G48" s="184"/>
      <c r="H48" s="185"/>
      <c r="I48" s="28" t="s">
        <v>40</v>
      </c>
      <c r="J48" s="21">
        <f>SUM(K48:M48)</f>
        <v>303951.42</v>
      </c>
      <c r="K48" s="25"/>
      <c r="L48" s="25">
        <v>276595.78999999998</v>
      </c>
      <c r="M48" s="25">
        <v>27355.63</v>
      </c>
      <c r="N48" s="26"/>
      <c r="O48" s="275"/>
    </row>
    <row r="49" spans="1:22" ht="22.5" customHeight="1" x14ac:dyDescent="0.25">
      <c r="A49" s="233" t="s">
        <v>64</v>
      </c>
      <c r="B49" s="211" t="s">
        <v>65</v>
      </c>
      <c r="C49" s="212">
        <v>154</v>
      </c>
      <c r="D49" s="212" t="s">
        <v>66</v>
      </c>
      <c r="E49" s="211" t="s">
        <v>67</v>
      </c>
      <c r="F49" s="212" t="s">
        <v>68</v>
      </c>
      <c r="G49" s="211" t="s">
        <v>69</v>
      </c>
      <c r="H49" s="211" t="s">
        <v>70</v>
      </c>
      <c r="I49" s="24" t="s">
        <v>37</v>
      </c>
      <c r="J49" s="21">
        <f t="shared" ref="J49:J90" si="6">SUM(K49:N49)</f>
        <v>226000</v>
      </c>
      <c r="K49" s="25"/>
      <c r="L49" s="25">
        <f>115700+85440</f>
        <v>201140</v>
      </c>
      <c r="M49" s="25">
        <v>24860</v>
      </c>
      <c r="N49" s="26"/>
      <c r="O49" s="234">
        <f>225592.87+400095.48</f>
        <v>625688.35</v>
      </c>
    </row>
    <row r="50" spans="1:22" ht="22.5" customHeight="1" x14ac:dyDescent="0.25">
      <c r="A50" s="233"/>
      <c r="B50" s="211"/>
      <c r="C50" s="212"/>
      <c r="D50" s="212"/>
      <c r="E50" s="211"/>
      <c r="F50" s="212"/>
      <c r="G50" s="211"/>
      <c r="H50" s="211"/>
      <c r="I50" s="24" t="s">
        <v>38</v>
      </c>
      <c r="J50" s="21">
        <f t="shared" si="6"/>
        <v>400473.68</v>
      </c>
      <c r="K50" s="25"/>
      <c r="L50" s="25">
        <v>360426.31</v>
      </c>
      <c r="M50" s="25">
        <v>40047.370000000003</v>
      </c>
      <c r="N50" s="26"/>
      <c r="O50" s="235"/>
      <c r="U50" s="63"/>
    </row>
    <row r="51" spans="1:22" ht="234.75" customHeight="1" x14ac:dyDescent="0.25">
      <c r="A51" s="233"/>
      <c r="B51" s="211"/>
      <c r="C51" s="212"/>
      <c r="D51" s="212"/>
      <c r="E51" s="211"/>
      <c r="F51" s="212"/>
      <c r="G51" s="211"/>
      <c r="H51" s="211"/>
      <c r="I51" s="24" t="s">
        <v>40</v>
      </c>
      <c r="J51" s="21">
        <f t="shared" si="6"/>
        <v>378.2</v>
      </c>
      <c r="K51" s="25"/>
      <c r="L51" s="25">
        <v>340.38</v>
      </c>
      <c r="M51" s="25">
        <v>37.82</v>
      </c>
      <c r="N51" s="26"/>
      <c r="O51" s="235"/>
      <c r="U51" s="63"/>
    </row>
    <row r="52" spans="1:22" ht="23.25" customHeight="1" x14ac:dyDescent="0.25">
      <c r="A52" s="60" t="s">
        <v>71</v>
      </c>
      <c r="B52" s="189" t="s">
        <v>43</v>
      </c>
      <c r="C52" s="190"/>
      <c r="D52" s="190"/>
      <c r="E52" s="190"/>
      <c r="F52" s="190"/>
      <c r="G52" s="190"/>
      <c r="H52" s="191"/>
      <c r="I52" s="28"/>
      <c r="J52" s="21"/>
      <c r="K52" s="25"/>
      <c r="L52" s="25"/>
      <c r="M52" s="25"/>
      <c r="N52" s="26"/>
      <c r="O52" s="235"/>
    </row>
    <row r="53" spans="1:22" ht="26.25" customHeight="1" x14ac:dyDescent="0.25">
      <c r="A53" s="216" t="s">
        <v>72</v>
      </c>
      <c r="B53" s="64" t="s">
        <v>45</v>
      </c>
      <c r="C53" s="65"/>
      <c r="D53" s="65"/>
      <c r="E53" s="65"/>
      <c r="F53" s="65"/>
      <c r="G53" s="65"/>
      <c r="H53" s="66"/>
      <c r="I53" s="28" t="s">
        <v>37</v>
      </c>
      <c r="J53" s="21">
        <f t="shared" si="6"/>
        <v>226000</v>
      </c>
      <c r="K53" s="25"/>
      <c r="L53" s="25">
        <v>201140</v>
      </c>
      <c r="M53" s="25">
        <v>24860</v>
      </c>
      <c r="N53" s="26"/>
      <c r="O53" s="235"/>
    </row>
    <row r="54" spans="1:22" ht="24.75" customHeight="1" x14ac:dyDescent="0.25">
      <c r="A54" s="236"/>
      <c r="B54" s="67"/>
      <c r="C54" s="68"/>
      <c r="D54" s="68"/>
      <c r="E54" s="68"/>
      <c r="F54" s="68"/>
      <c r="G54" s="68"/>
      <c r="H54" s="69"/>
      <c r="I54" s="28" t="s">
        <v>38</v>
      </c>
      <c r="J54" s="21">
        <f t="shared" si="6"/>
        <v>400473.68</v>
      </c>
      <c r="K54" s="25"/>
      <c r="L54" s="25">
        <v>360426.31</v>
      </c>
      <c r="M54" s="25">
        <v>40047.370000000003</v>
      </c>
      <c r="N54" s="26"/>
      <c r="O54" s="235"/>
    </row>
    <row r="55" spans="1:22" ht="24.75" customHeight="1" x14ac:dyDescent="0.25">
      <c r="A55" s="236"/>
      <c r="B55" s="67"/>
      <c r="C55" s="68"/>
      <c r="D55" s="68"/>
      <c r="E55" s="68"/>
      <c r="F55" s="68"/>
      <c r="G55" s="68"/>
      <c r="H55" s="69"/>
      <c r="I55" s="28" t="s">
        <v>40</v>
      </c>
      <c r="J55" s="21">
        <f t="shared" si="6"/>
        <v>378.2</v>
      </c>
      <c r="K55" s="25"/>
      <c r="L55" s="25">
        <v>340.38</v>
      </c>
      <c r="M55" s="25">
        <v>37.82</v>
      </c>
      <c r="N55" s="26"/>
      <c r="O55" s="235"/>
    </row>
    <row r="56" spans="1:22" ht="26.25" customHeight="1" x14ac:dyDescent="0.25">
      <c r="A56" s="216" t="s">
        <v>73</v>
      </c>
      <c r="B56" s="240" t="s">
        <v>74</v>
      </c>
      <c r="C56" s="195">
        <v>85</v>
      </c>
      <c r="D56" s="242" t="s">
        <v>75</v>
      </c>
      <c r="E56" s="241" t="s">
        <v>76</v>
      </c>
      <c r="F56" s="242" t="s">
        <v>77</v>
      </c>
      <c r="G56" s="240" t="s">
        <v>78</v>
      </c>
      <c r="H56" s="240" t="s">
        <v>78</v>
      </c>
      <c r="I56" s="28" t="s">
        <v>37</v>
      </c>
      <c r="J56" s="21">
        <f t="shared" si="6"/>
        <v>97110</v>
      </c>
      <c r="K56" s="17"/>
      <c r="L56" s="70">
        <v>96138.9</v>
      </c>
      <c r="M56" s="70">
        <v>971.09999999999991</v>
      </c>
      <c r="N56" s="26"/>
      <c r="O56" s="234">
        <f>97110+6647.34</f>
        <v>103757.34</v>
      </c>
    </row>
    <row r="57" spans="1:22" ht="126" customHeight="1" x14ac:dyDescent="0.25">
      <c r="A57" s="217"/>
      <c r="B57" s="268"/>
      <c r="C57" s="198"/>
      <c r="D57" s="242"/>
      <c r="E57" s="241"/>
      <c r="F57" s="242"/>
      <c r="G57" s="268"/>
      <c r="H57" s="268"/>
      <c r="I57" s="28" t="s">
        <v>38</v>
      </c>
      <c r="J57" s="21">
        <f t="shared" si="6"/>
        <v>226590</v>
      </c>
      <c r="K57" s="17"/>
      <c r="L57" s="21">
        <v>224324.1</v>
      </c>
      <c r="M57" s="21">
        <v>2265.9</v>
      </c>
      <c r="N57" s="26"/>
      <c r="O57" s="235"/>
    </row>
    <row r="58" spans="1:22" ht="26.25" customHeight="1" x14ac:dyDescent="0.25">
      <c r="A58" s="29" t="s">
        <v>79</v>
      </c>
      <c r="B58" s="205" t="s">
        <v>43</v>
      </c>
      <c r="C58" s="206"/>
      <c r="D58" s="206"/>
      <c r="E58" s="206"/>
      <c r="F58" s="206"/>
      <c r="G58" s="206"/>
      <c r="H58" s="207"/>
      <c r="I58" s="28"/>
      <c r="J58" s="21"/>
      <c r="K58" s="17"/>
      <c r="L58" s="17"/>
      <c r="M58" s="17"/>
      <c r="N58" s="26"/>
      <c r="O58" s="235"/>
    </row>
    <row r="59" spans="1:22" ht="26.25" customHeight="1" x14ac:dyDescent="0.25">
      <c r="A59" s="216" t="s">
        <v>80</v>
      </c>
      <c r="B59" s="180" t="s">
        <v>45</v>
      </c>
      <c r="C59" s="181"/>
      <c r="D59" s="181"/>
      <c r="E59" s="181"/>
      <c r="F59" s="181"/>
      <c r="G59" s="181"/>
      <c r="H59" s="182"/>
      <c r="I59" s="28" t="s">
        <v>37</v>
      </c>
      <c r="J59" s="21">
        <f t="shared" si="6"/>
        <v>97110</v>
      </c>
      <c r="K59" s="17"/>
      <c r="L59" s="70">
        <v>96138.9</v>
      </c>
      <c r="M59" s="70">
        <v>971.09999999999991</v>
      </c>
      <c r="N59" s="26"/>
      <c r="O59" s="235"/>
    </row>
    <row r="60" spans="1:22" ht="26.25" customHeight="1" x14ac:dyDescent="0.25">
      <c r="A60" s="236"/>
      <c r="B60" s="183"/>
      <c r="C60" s="184"/>
      <c r="D60" s="184"/>
      <c r="E60" s="184"/>
      <c r="F60" s="184"/>
      <c r="G60" s="184"/>
      <c r="H60" s="185"/>
      <c r="I60" s="28" t="s">
        <v>38</v>
      </c>
      <c r="J60" s="21">
        <f t="shared" si="6"/>
        <v>226590</v>
      </c>
      <c r="K60" s="17"/>
      <c r="L60" s="70">
        <v>224324.1</v>
      </c>
      <c r="M60" s="70">
        <v>2265.9</v>
      </c>
      <c r="N60" s="26"/>
      <c r="O60" s="275"/>
    </row>
    <row r="61" spans="1:22" ht="26.25" customHeight="1" x14ac:dyDescent="0.25">
      <c r="A61" s="233" t="s">
        <v>81</v>
      </c>
      <c r="B61" s="211" t="s">
        <v>82</v>
      </c>
      <c r="C61" s="212">
        <v>52</v>
      </c>
      <c r="D61" s="212" t="s">
        <v>83</v>
      </c>
      <c r="E61" s="212" t="s">
        <v>84</v>
      </c>
      <c r="F61" s="212" t="s">
        <v>85</v>
      </c>
      <c r="G61" s="211" t="s">
        <v>86</v>
      </c>
      <c r="H61" s="211" t="s">
        <v>86</v>
      </c>
      <c r="I61" s="24" t="s">
        <v>37</v>
      </c>
      <c r="J61" s="21">
        <f t="shared" si="6"/>
        <v>39000</v>
      </c>
      <c r="K61" s="17"/>
      <c r="L61" s="70">
        <v>35880</v>
      </c>
      <c r="M61" s="70">
        <v>3120</v>
      </c>
      <c r="N61" s="26"/>
      <c r="O61" s="234">
        <f>39000+54554.44</f>
        <v>93554.44</v>
      </c>
    </row>
    <row r="62" spans="1:22" ht="25.5" customHeight="1" x14ac:dyDescent="0.25">
      <c r="A62" s="233"/>
      <c r="B62" s="211"/>
      <c r="C62" s="212"/>
      <c r="D62" s="212"/>
      <c r="E62" s="212"/>
      <c r="F62" s="212"/>
      <c r="G62" s="211"/>
      <c r="H62" s="211"/>
      <c r="I62" s="24" t="s">
        <v>38</v>
      </c>
      <c r="J62" s="21">
        <f t="shared" si="6"/>
        <v>54554.439999999995</v>
      </c>
      <c r="K62" s="17"/>
      <c r="L62" s="21">
        <v>50190.09</v>
      </c>
      <c r="M62" s="21">
        <v>4364.3500000000004</v>
      </c>
      <c r="N62" s="26"/>
      <c r="O62" s="235"/>
      <c r="V62" s="3">
        <f>L62/J62*100</f>
        <v>92.000009531763141</v>
      </c>
    </row>
    <row r="63" spans="1:22" ht="107.25" customHeight="1" x14ac:dyDescent="0.25">
      <c r="A63" s="233"/>
      <c r="B63" s="211"/>
      <c r="C63" s="212"/>
      <c r="D63" s="212"/>
      <c r="E63" s="212"/>
      <c r="F63" s="212"/>
      <c r="G63" s="211"/>
      <c r="H63" s="211"/>
      <c r="I63" s="291" t="s">
        <v>40</v>
      </c>
      <c r="J63" s="292">
        <f t="shared" si="6"/>
        <v>163100.88</v>
      </c>
      <c r="K63" s="293"/>
      <c r="L63" s="292">
        <v>150052.81</v>
      </c>
      <c r="M63" s="292">
        <v>13048.07</v>
      </c>
      <c r="N63" s="294"/>
      <c r="O63" s="235"/>
    </row>
    <row r="64" spans="1:22" ht="26.25" customHeight="1" x14ac:dyDescent="0.25">
      <c r="A64" s="27" t="s">
        <v>87</v>
      </c>
      <c r="B64" s="189" t="s">
        <v>43</v>
      </c>
      <c r="C64" s="190"/>
      <c r="D64" s="190"/>
      <c r="E64" s="190"/>
      <c r="F64" s="190"/>
      <c r="G64" s="190"/>
      <c r="H64" s="191"/>
      <c r="I64" s="28"/>
      <c r="J64" s="21"/>
      <c r="K64" s="17"/>
      <c r="L64" s="17"/>
      <c r="M64" s="17"/>
      <c r="N64" s="26"/>
      <c r="O64" s="235"/>
    </row>
    <row r="65" spans="1:15" ht="26.25" customHeight="1" x14ac:dyDescent="0.25">
      <c r="A65" s="216" t="s">
        <v>88</v>
      </c>
      <c r="B65" s="64" t="s">
        <v>45</v>
      </c>
      <c r="C65" s="65"/>
      <c r="D65" s="65"/>
      <c r="E65" s="65"/>
      <c r="F65" s="65"/>
      <c r="G65" s="65"/>
      <c r="H65" s="66"/>
      <c r="I65" s="28" t="s">
        <v>37</v>
      </c>
      <c r="J65" s="21">
        <f t="shared" si="6"/>
        <v>39000</v>
      </c>
      <c r="K65" s="17"/>
      <c r="L65" s="71">
        <v>35880</v>
      </c>
      <c r="M65" s="70">
        <v>3120</v>
      </c>
      <c r="N65" s="26"/>
      <c r="O65" s="235"/>
    </row>
    <row r="66" spans="1:15" ht="26.25" customHeight="1" x14ac:dyDescent="0.25">
      <c r="A66" s="236"/>
      <c r="B66" s="67"/>
      <c r="C66" s="68"/>
      <c r="D66" s="68"/>
      <c r="E66" s="68"/>
      <c r="F66" s="68"/>
      <c r="G66" s="68"/>
      <c r="H66" s="69"/>
      <c r="I66" s="28" t="s">
        <v>38</v>
      </c>
      <c r="J66" s="21">
        <f t="shared" si="6"/>
        <v>54554.439999999995</v>
      </c>
      <c r="K66" s="72"/>
      <c r="L66" s="38">
        <v>50190.09</v>
      </c>
      <c r="M66" s="73">
        <v>4364.3500000000004</v>
      </c>
      <c r="N66" s="26"/>
      <c r="O66" s="235"/>
    </row>
    <row r="67" spans="1:15" ht="26.25" customHeight="1" x14ac:dyDescent="0.25">
      <c r="A67" s="236"/>
      <c r="B67" s="67"/>
      <c r="C67" s="68"/>
      <c r="D67" s="68"/>
      <c r="E67" s="68"/>
      <c r="F67" s="68"/>
      <c r="G67" s="68"/>
      <c r="H67" s="69"/>
      <c r="I67" s="28" t="s">
        <v>40</v>
      </c>
      <c r="J67" s="21">
        <f t="shared" si="6"/>
        <v>98567.56</v>
      </c>
      <c r="K67" s="72"/>
      <c r="L67" s="38">
        <v>90682.15</v>
      </c>
      <c r="M67" s="73">
        <v>7885.41</v>
      </c>
      <c r="N67" s="26"/>
      <c r="O67" s="235"/>
    </row>
    <row r="68" spans="1:15" ht="26.25" customHeight="1" x14ac:dyDescent="0.25">
      <c r="A68" s="216" t="s">
        <v>89</v>
      </c>
      <c r="B68" s="240" t="s">
        <v>90</v>
      </c>
      <c r="C68" s="195">
        <v>72</v>
      </c>
      <c r="D68" s="195" t="s">
        <v>91</v>
      </c>
      <c r="E68" s="195" t="s">
        <v>92</v>
      </c>
      <c r="F68" s="195" t="s">
        <v>93</v>
      </c>
      <c r="G68" s="240" t="s">
        <v>94</v>
      </c>
      <c r="H68" s="240" t="s">
        <v>94</v>
      </c>
      <c r="I68" s="28" t="s">
        <v>40</v>
      </c>
      <c r="J68" s="55">
        <f t="shared" si="6"/>
        <v>281118.45500000002</v>
      </c>
      <c r="K68" s="70">
        <v>120000</v>
      </c>
      <c r="L68" s="74">
        <v>141440.163</v>
      </c>
      <c r="M68" s="75">
        <v>19678.292000000001</v>
      </c>
      <c r="N68" s="26"/>
      <c r="O68" s="234"/>
    </row>
    <row r="69" spans="1:15" ht="99.75" customHeight="1" x14ac:dyDescent="0.25">
      <c r="A69" s="217"/>
      <c r="B69" s="268"/>
      <c r="C69" s="198"/>
      <c r="D69" s="198"/>
      <c r="E69" s="198"/>
      <c r="F69" s="198"/>
      <c r="G69" s="268"/>
      <c r="H69" s="268"/>
      <c r="I69" s="28" t="s">
        <v>41</v>
      </c>
      <c r="J69" s="21">
        <f t="shared" si="6"/>
        <v>33158.21</v>
      </c>
      <c r="K69" s="17"/>
      <c r="L69" s="21">
        <v>30505.55</v>
      </c>
      <c r="M69" s="21">
        <v>2652.66</v>
      </c>
      <c r="N69" s="26"/>
      <c r="O69" s="235"/>
    </row>
    <row r="70" spans="1:15" ht="26.25" customHeight="1" x14ac:dyDescent="0.25">
      <c r="A70" s="29" t="s">
        <v>95</v>
      </c>
      <c r="B70" s="205" t="s">
        <v>43</v>
      </c>
      <c r="C70" s="206"/>
      <c r="D70" s="206"/>
      <c r="E70" s="206"/>
      <c r="F70" s="206"/>
      <c r="G70" s="206"/>
      <c r="H70" s="207"/>
      <c r="I70" s="28"/>
      <c r="J70" s="21"/>
      <c r="K70" s="17"/>
      <c r="L70" s="17"/>
      <c r="M70" s="17"/>
      <c r="N70" s="26"/>
      <c r="O70" s="235"/>
    </row>
    <row r="71" spans="1:15" ht="26.25" customHeight="1" x14ac:dyDescent="0.25">
      <c r="A71" s="216" t="s">
        <v>96</v>
      </c>
      <c r="B71" s="180" t="s">
        <v>45</v>
      </c>
      <c r="C71" s="181"/>
      <c r="D71" s="181"/>
      <c r="E71" s="181"/>
      <c r="F71" s="181"/>
      <c r="G71" s="181"/>
      <c r="H71" s="182"/>
      <c r="I71" s="28" t="s">
        <v>40</v>
      </c>
      <c r="J71" s="55">
        <f t="shared" si="6"/>
        <v>281118.45500000002</v>
      </c>
      <c r="K71" s="70">
        <v>120000</v>
      </c>
      <c r="L71" s="74">
        <v>141440.163</v>
      </c>
      <c r="M71" s="76">
        <v>19678.292000000001</v>
      </c>
      <c r="N71" s="26"/>
      <c r="O71" s="235"/>
    </row>
    <row r="72" spans="1:15" ht="26.25" customHeight="1" x14ac:dyDescent="0.25">
      <c r="A72" s="217"/>
      <c r="B72" s="189"/>
      <c r="C72" s="190"/>
      <c r="D72" s="190"/>
      <c r="E72" s="190"/>
      <c r="F72" s="190"/>
      <c r="G72" s="190"/>
      <c r="H72" s="191"/>
      <c r="I72" s="28" t="s">
        <v>41</v>
      </c>
      <c r="J72" s="21">
        <f t="shared" si="6"/>
        <v>33158.21</v>
      </c>
      <c r="K72" s="17"/>
      <c r="L72" s="70">
        <v>30505.55</v>
      </c>
      <c r="M72" s="70">
        <v>2652.66</v>
      </c>
      <c r="N72" s="26"/>
      <c r="O72" s="275"/>
    </row>
    <row r="73" spans="1:15" s="3" customFormat="1" ht="23.25" customHeight="1" x14ac:dyDescent="0.25">
      <c r="A73" s="258" t="s">
        <v>97</v>
      </c>
      <c r="B73" s="240" t="s">
        <v>98</v>
      </c>
      <c r="C73" s="195">
        <v>157</v>
      </c>
      <c r="D73" s="195" t="s">
        <v>99</v>
      </c>
      <c r="E73" s="240" t="s">
        <v>100</v>
      </c>
      <c r="F73" s="195" t="s">
        <v>101</v>
      </c>
      <c r="G73" s="240" t="s">
        <v>102</v>
      </c>
      <c r="H73" s="240" t="s">
        <v>102</v>
      </c>
      <c r="I73" s="18">
        <v>2025</v>
      </c>
      <c r="J73" s="21">
        <f t="shared" si="6"/>
        <v>365732.18374000001</v>
      </c>
      <c r="K73" s="22"/>
      <c r="L73" s="21">
        <v>365732.18374000001</v>
      </c>
      <c r="M73" s="22"/>
      <c r="N73" s="18"/>
      <c r="O73" s="234">
        <v>418709.58</v>
      </c>
    </row>
    <row r="74" spans="1:15" s="3" customFormat="1" ht="24.75" customHeight="1" x14ac:dyDescent="0.25">
      <c r="A74" s="259"/>
      <c r="B74" s="267"/>
      <c r="C74" s="196"/>
      <c r="D74" s="196"/>
      <c r="E74" s="267"/>
      <c r="F74" s="196"/>
      <c r="G74" s="267"/>
      <c r="H74" s="267"/>
      <c r="I74" s="195">
        <v>2026</v>
      </c>
      <c r="J74" s="269">
        <f t="shared" si="6"/>
        <v>52977.4</v>
      </c>
      <c r="K74" s="272"/>
      <c r="L74" s="269">
        <v>52977.4</v>
      </c>
      <c r="M74" s="272"/>
      <c r="N74" s="195"/>
      <c r="O74" s="235"/>
    </row>
    <row r="75" spans="1:15" s="3" customFormat="1" ht="23.25" customHeight="1" x14ac:dyDescent="0.25">
      <c r="A75" s="259"/>
      <c r="B75" s="267"/>
      <c r="C75" s="196"/>
      <c r="D75" s="196"/>
      <c r="E75" s="267"/>
      <c r="F75" s="196"/>
      <c r="G75" s="267"/>
      <c r="H75" s="267"/>
      <c r="I75" s="196"/>
      <c r="J75" s="270"/>
      <c r="K75" s="273"/>
      <c r="L75" s="270"/>
      <c r="M75" s="273"/>
      <c r="N75" s="196"/>
      <c r="O75" s="235"/>
    </row>
    <row r="76" spans="1:15" s="3" customFormat="1" ht="177" customHeight="1" x14ac:dyDescent="0.25">
      <c r="A76" s="266"/>
      <c r="B76" s="268"/>
      <c r="C76" s="198"/>
      <c r="D76" s="198"/>
      <c r="E76" s="268"/>
      <c r="F76" s="198"/>
      <c r="G76" s="268"/>
      <c r="H76" s="268"/>
      <c r="I76" s="198"/>
      <c r="J76" s="271"/>
      <c r="K76" s="274"/>
      <c r="L76" s="271"/>
      <c r="M76" s="274"/>
      <c r="N76" s="198"/>
      <c r="O76" s="275"/>
    </row>
    <row r="77" spans="1:15" s="77" customFormat="1" ht="231" customHeight="1" x14ac:dyDescent="0.25">
      <c r="A77" s="30" t="s">
        <v>103</v>
      </c>
      <c r="B77" s="78" t="s">
        <v>104</v>
      </c>
      <c r="C77" s="79">
        <v>32</v>
      </c>
      <c r="D77" s="80" t="s">
        <v>105</v>
      </c>
      <c r="E77" s="78" t="s">
        <v>106</v>
      </c>
      <c r="F77" s="78" t="s">
        <v>107</v>
      </c>
      <c r="G77" s="81" t="s">
        <v>108</v>
      </c>
      <c r="H77" s="81" t="s">
        <v>108</v>
      </c>
      <c r="I77" s="16">
        <v>2026</v>
      </c>
      <c r="J77" s="25">
        <f t="shared" si="6"/>
        <v>155041.69999999998</v>
      </c>
      <c r="K77" s="25">
        <v>71412.2</v>
      </c>
      <c r="L77" s="25">
        <v>80528.67</v>
      </c>
      <c r="M77" s="25">
        <v>3100.83</v>
      </c>
      <c r="N77" s="82"/>
      <c r="O77" s="255"/>
    </row>
    <row r="78" spans="1:15" s="3" customFormat="1" ht="27.75" customHeight="1" x14ac:dyDescent="0.25">
      <c r="A78" s="60" t="s">
        <v>109</v>
      </c>
      <c r="B78" s="205" t="s">
        <v>43</v>
      </c>
      <c r="C78" s="206"/>
      <c r="D78" s="206"/>
      <c r="E78" s="206"/>
      <c r="F78" s="206"/>
      <c r="G78" s="206"/>
      <c r="H78" s="207"/>
      <c r="I78" s="18"/>
      <c r="J78" s="25"/>
      <c r="K78" s="25"/>
      <c r="L78" s="25"/>
      <c r="M78" s="83"/>
      <c r="N78" s="84"/>
      <c r="O78" s="256"/>
    </row>
    <row r="79" spans="1:15" s="3" customFormat="1" ht="24.75" customHeight="1" x14ac:dyDescent="0.25">
      <c r="A79" s="85" t="s">
        <v>110</v>
      </c>
      <c r="B79" s="64" t="s">
        <v>45</v>
      </c>
      <c r="C79" s="65"/>
      <c r="D79" s="65"/>
      <c r="E79" s="65"/>
      <c r="F79" s="65"/>
      <c r="G79" s="65"/>
      <c r="H79" s="66"/>
      <c r="I79" s="18">
        <v>2026</v>
      </c>
      <c r="J79" s="25">
        <f t="shared" si="6"/>
        <v>155041.69999999998</v>
      </c>
      <c r="K79" s="25">
        <v>71412.2</v>
      </c>
      <c r="L79" s="25">
        <v>80528.67</v>
      </c>
      <c r="M79" s="25">
        <v>3100.83</v>
      </c>
      <c r="N79" s="84"/>
      <c r="O79" s="257"/>
    </row>
    <row r="80" spans="1:15" s="3" customFormat="1" ht="27" customHeight="1" x14ac:dyDescent="0.25">
      <c r="A80" s="258"/>
      <c r="B80" s="180" t="s">
        <v>111</v>
      </c>
      <c r="C80" s="181"/>
      <c r="D80" s="181"/>
      <c r="E80" s="181"/>
      <c r="F80" s="181"/>
      <c r="G80" s="181"/>
      <c r="H80" s="182"/>
      <c r="I80" s="86">
        <v>2029</v>
      </c>
      <c r="J80" s="21">
        <f t="shared" si="6"/>
        <v>618000</v>
      </c>
      <c r="K80" s="87"/>
      <c r="L80" s="21">
        <v>550000</v>
      </c>
      <c r="M80" s="88">
        <v>68000</v>
      </c>
      <c r="N80" s="18"/>
      <c r="O80" s="18"/>
    </row>
    <row r="81" spans="1:22" s="3" customFormat="1" ht="26.25" customHeight="1" x14ac:dyDescent="0.25">
      <c r="A81" s="259"/>
      <c r="B81" s="183"/>
      <c r="C81" s="184"/>
      <c r="D81" s="184"/>
      <c r="E81" s="184"/>
      <c r="F81" s="184"/>
      <c r="G81" s="184"/>
      <c r="H81" s="185"/>
      <c r="I81" s="18">
        <v>2030</v>
      </c>
      <c r="J81" s="87">
        <f t="shared" si="6"/>
        <v>618000</v>
      </c>
      <c r="K81" s="21"/>
      <c r="L81" s="87">
        <v>550000</v>
      </c>
      <c r="M81" s="55">
        <v>68000</v>
      </c>
      <c r="N81" s="18"/>
      <c r="O81" s="18"/>
    </row>
    <row r="82" spans="1:22" s="89" customFormat="1" ht="24.75" customHeight="1" x14ac:dyDescent="0.25">
      <c r="A82" s="260"/>
      <c r="B82" s="180" t="s">
        <v>112</v>
      </c>
      <c r="C82" s="181"/>
      <c r="D82" s="181"/>
      <c r="E82" s="181"/>
      <c r="F82" s="181"/>
      <c r="G82" s="181"/>
      <c r="H82" s="182"/>
      <c r="I82" s="90" t="s">
        <v>35</v>
      </c>
      <c r="J82" s="51">
        <f t="shared" si="6"/>
        <v>337448.97999999981</v>
      </c>
      <c r="K82" s="51"/>
      <c r="L82" s="51">
        <f>SUM(L16,L29)</f>
        <v>216514.58999999991</v>
      </c>
      <c r="M82" s="51">
        <f>SUM(M16,M29)</f>
        <v>120934.38999999991</v>
      </c>
      <c r="N82" s="50"/>
      <c r="O82" s="91"/>
      <c r="U82" s="92"/>
    </row>
    <row r="83" spans="1:22" ht="21" x14ac:dyDescent="0.35">
      <c r="A83" s="261"/>
      <c r="B83" s="183"/>
      <c r="C83" s="184"/>
      <c r="D83" s="184"/>
      <c r="E83" s="184"/>
      <c r="F83" s="184"/>
      <c r="G83" s="184"/>
      <c r="H83" s="185"/>
      <c r="I83" s="90" t="s">
        <v>36</v>
      </c>
      <c r="J83" s="51">
        <f t="shared" si="6"/>
        <v>116980.1399999999</v>
      </c>
      <c r="K83" s="51"/>
      <c r="L83" s="51">
        <f>SUM(L17,L30,L40)</f>
        <v>82638.119999999908</v>
      </c>
      <c r="M83" s="51">
        <f>SUM(M17,M30,M40)</f>
        <v>34342.019999999997</v>
      </c>
      <c r="N83" s="50"/>
      <c r="O83" s="84"/>
      <c r="U83" s="93"/>
      <c r="V83" s="15"/>
    </row>
    <row r="84" spans="1:22" ht="21" x14ac:dyDescent="0.35">
      <c r="A84" s="261"/>
      <c r="B84" s="183"/>
      <c r="C84" s="184"/>
      <c r="D84" s="184"/>
      <c r="E84" s="184"/>
      <c r="F84" s="184"/>
      <c r="G84" s="184"/>
      <c r="H84" s="185"/>
      <c r="I84" s="90" t="s">
        <v>37</v>
      </c>
      <c r="J84" s="51">
        <f t="shared" si="6"/>
        <v>941966.94130434829</v>
      </c>
      <c r="K84" s="51"/>
      <c r="L84" s="51">
        <f>SUM(L18,L31,L41,L49,L56,L61)</f>
        <v>722006.79000000062</v>
      </c>
      <c r="M84" s="51">
        <f>SUM(M18,M31,M41,M49,M56,M61)</f>
        <v>219960.15130434764</v>
      </c>
      <c r="N84" s="50"/>
      <c r="O84" s="84"/>
      <c r="U84" s="93"/>
      <c r="V84" s="15"/>
    </row>
    <row r="85" spans="1:22" ht="23.25" customHeight="1" x14ac:dyDescent="0.35">
      <c r="A85" s="261"/>
      <c r="B85" s="183"/>
      <c r="C85" s="184"/>
      <c r="D85" s="184"/>
      <c r="E85" s="184"/>
      <c r="F85" s="184"/>
      <c r="G85" s="184"/>
      <c r="H85" s="185"/>
      <c r="I85" s="90" t="s">
        <v>38</v>
      </c>
      <c r="J85" s="51">
        <f t="shared" si="6"/>
        <v>1484582.29</v>
      </c>
      <c r="K85" s="50"/>
      <c r="L85" s="51">
        <v>1352771.44</v>
      </c>
      <c r="M85" s="51">
        <v>131810.85</v>
      </c>
      <c r="N85" s="50"/>
      <c r="O85" s="84"/>
      <c r="U85" s="93"/>
      <c r="V85" s="15"/>
    </row>
    <row r="86" spans="1:22" ht="18.75" x14ac:dyDescent="0.25">
      <c r="A86" s="261"/>
      <c r="B86" s="183"/>
      <c r="C86" s="184"/>
      <c r="D86" s="184"/>
      <c r="E86" s="184"/>
      <c r="F86" s="184"/>
      <c r="G86" s="184"/>
      <c r="H86" s="185"/>
      <c r="I86" s="295" t="s">
        <v>40</v>
      </c>
      <c r="J86" s="296">
        <f t="shared" si="6"/>
        <v>1023431.4950000001</v>
      </c>
      <c r="K86" s="296">
        <f>SUM(K43,K68,K74,K77)</f>
        <v>191412.2</v>
      </c>
      <c r="L86" s="296">
        <f>SUM(L20,L33,L43,L51,L63,L68,L74,L77)</f>
        <v>757361.93300000008</v>
      </c>
      <c r="M86" s="296">
        <f>SUM(M20,M33,M43,M51,M63,M68,M74,M77)</f>
        <v>74657.362000000008</v>
      </c>
      <c r="N86" s="50"/>
      <c r="O86" s="84"/>
    </row>
    <row r="87" spans="1:22" ht="18.75" x14ac:dyDescent="0.25">
      <c r="A87" s="261"/>
      <c r="B87" s="183"/>
      <c r="C87" s="184"/>
      <c r="D87" s="184"/>
      <c r="E87" s="184"/>
      <c r="F87" s="184"/>
      <c r="G87" s="184"/>
      <c r="H87" s="185"/>
      <c r="I87" s="90" t="s">
        <v>41</v>
      </c>
      <c r="J87" s="50">
        <f t="shared" si="6"/>
        <v>155328.21</v>
      </c>
      <c r="K87" s="51"/>
      <c r="L87" s="51">
        <f>SUM(L21,L69)</f>
        <v>142901.54999999999</v>
      </c>
      <c r="M87" s="51">
        <f>SUM(M21,M69)</f>
        <v>12426.66</v>
      </c>
      <c r="N87" s="50"/>
      <c r="O87" s="84"/>
    </row>
    <row r="88" spans="1:22" ht="18.75" x14ac:dyDescent="0.25">
      <c r="A88" s="261"/>
      <c r="B88" s="183"/>
      <c r="C88" s="184"/>
      <c r="D88" s="184"/>
      <c r="E88" s="184"/>
      <c r="F88" s="184"/>
      <c r="G88" s="184"/>
      <c r="H88" s="185"/>
      <c r="I88" s="90" t="s">
        <v>113</v>
      </c>
      <c r="J88" s="50">
        <f t="shared" si="6"/>
        <v>0</v>
      </c>
      <c r="K88" s="51"/>
      <c r="L88" s="51">
        <v>0</v>
      </c>
      <c r="M88" s="50">
        <v>0</v>
      </c>
      <c r="N88" s="50"/>
      <c r="O88" s="84"/>
    </row>
    <row r="89" spans="1:22" ht="18.75" x14ac:dyDescent="0.25">
      <c r="A89" s="261"/>
      <c r="B89" s="183"/>
      <c r="C89" s="184"/>
      <c r="D89" s="184"/>
      <c r="E89" s="184"/>
      <c r="F89" s="184"/>
      <c r="G89" s="184"/>
      <c r="H89" s="185"/>
      <c r="I89" s="90" t="s">
        <v>114</v>
      </c>
      <c r="J89" s="50">
        <f t="shared" si="6"/>
        <v>618000</v>
      </c>
      <c r="K89" s="51"/>
      <c r="L89" s="51">
        <f t="shared" ref="L89:L90" si="7">L80</f>
        <v>550000</v>
      </c>
      <c r="M89" s="51">
        <f t="shared" ref="M89:M90" si="8">M80</f>
        <v>68000</v>
      </c>
      <c r="N89" s="50"/>
      <c r="O89" s="84"/>
    </row>
    <row r="90" spans="1:22" ht="18.75" x14ac:dyDescent="0.25">
      <c r="A90" s="262"/>
      <c r="B90" s="189"/>
      <c r="C90" s="190"/>
      <c r="D90" s="190"/>
      <c r="E90" s="190"/>
      <c r="F90" s="190"/>
      <c r="G90" s="190"/>
      <c r="H90" s="191"/>
      <c r="I90" s="90" t="s">
        <v>115</v>
      </c>
      <c r="J90" s="50">
        <f t="shared" si="6"/>
        <v>618000</v>
      </c>
      <c r="K90" s="51"/>
      <c r="L90" s="51">
        <f t="shared" si="7"/>
        <v>550000</v>
      </c>
      <c r="M90" s="51">
        <f t="shared" si="8"/>
        <v>68000</v>
      </c>
      <c r="N90" s="50"/>
      <c r="O90" s="84"/>
    </row>
    <row r="91" spans="1:22" ht="38.25" customHeight="1" x14ac:dyDescent="0.25">
      <c r="A91" s="94"/>
      <c r="B91" s="205" t="s">
        <v>116</v>
      </c>
      <c r="C91" s="206"/>
      <c r="D91" s="206"/>
      <c r="E91" s="206"/>
      <c r="F91" s="206"/>
      <c r="G91" s="206"/>
      <c r="H91" s="207"/>
      <c r="I91" s="297" t="s">
        <v>117</v>
      </c>
      <c r="J91" s="298">
        <f>J82+J83+J84+J85+J86+J87+J88+J89+J90</f>
        <v>5295738.0563043486</v>
      </c>
      <c r="K91" s="296">
        <f>SUM(K82:K90)</f>
        <v>191412.2</v>
      </c>
      <c r="L91" s="298">
        <f>L82+L83+L84+L85+L86+L87+L88+L89+L90</f>
        <v>4374194.4230000004</v>
      </c>
      <c r="M91" s="298">
        <f>M82+M83+M84+M85+M86+M87+M88+M89+M90</f>
        <v>730131.43330434756</v>
      </c>
      <c r="N91" s="95"/>
      <c r="O91" s="84"/>
    </row>
    <row r="92" spans="1:22" s="3" customFormat="1" ht="26.45" customHeight="1" x14ac:dyDescent="0.25">
      <c r="A92" s="263" t="s">
        <v>118</v>
      </c>
      <c r="B92" s="264"/>
      <c r="C92" s="264"/>
      <c r="D92" s="264"/>
      <c r="E92" s="264"/>
      <c r="F92" s="264"/>
      <c r="G92" s="264"/>
      <c r="H92" s="264"/>
      <c r="I92" s="264"/>
      <c r="J92" s="264"/>
      <c r="K92" s="264"/>
      <c r="L92" s="264"/>
      <c r="M92" s="264"/>
      <c r="N92" s="264"/>
      <c r="O92" s="265"/>
    </row>
    <row r="93" spans="1:22" s="3" customFormat="1" ht="23.25" customHeight="1" x14ac:dyDescent="0.25">
      <c r="A93" s="258" t="s">
        <v>119</v>
      </c>
      <c r="B93" s="240" t="s">
        <v>98</v>
      </c>
      <c r="C93" s="195">
        <v>157</v>
      </c>
      <c r="D93" s="195" t="s">
        <v>99</v>
      </c>
      <c r="E93" s="240" t="s">
        <v>100</v>
      </c>
      <c r="F93" s="195" t="s">
        <v>101</v>
      </c>
      <c r="G93" s="240" t="s">
        <v>102</v>
      </c>
      <c r="H93" s="240" t="s">
        <v>102</v>
      </c>
      <c r="I93" s="18">
        <v>2023</v>
      </c>
      <c r="J93" s="21">
        <f t="shared" ref="J93:J98" si="9">SUM(K93:N93)</f>
        <v>279031.85127999901</v>
      </c>
      <c r="K93" s="22"/>
      <c r="L93" s="21">
        <f>220547.459999999+58484.39128</f>
        <v>279031.85127999901</v>
      </c>
      <c r="M93" s="22"/>
      <c r="N93" s="18"/>
      <c r="O93" s="255">
        <f>299675.5+279031.849999999</f>
        <v>578707.34999999893</v>
      </c>
    </row>
    <row r="94" spans="1:22" s="3" customFormat="1" ht="24.75" customHeight="1" x14ac:dyDescent="0.25">
      <c r="A94" s="259"/>
      <c r="B94" s="267"/>
      <c r="C94" s="196"/>
      <c r="D94" s="196"/>
      <c r="E94" s="267"/>
      <c r="F94" s="196"/>
      <c r="G94" s="267"/>
      <c r="H94" s="267"/>
      <c r="I94" s="195">
        <v>2024</v>
      </c>
      <c r="J94" s="269">
        <f t="shared" si="9"/>
        <v>279031.84999999998</v>
      </c>
      <c r="K94" s="272"/>
      <c r="L94" s="269">
        <v>279031.84999999998</v>
      </c>
      <c r="M94" s="272"/>
      <c r="N94" s="195"/>
      <c r="O94" s="256"/>
    </row>
    <row r="95" spans="1:22" s="3" customFormat="1" ht="23.25" customHeight="1" x14ac:dyDescent="0.25">
      <c r="A95" s="259"/>
      <c r="B95" s="267"/>
      <c r="C95" s="196"/>
      <c r="D95" s="196"/>
      <c r="E95" s="267"/>
      <c r="F95" s="196"/>
      <c r="G95" s="267"/>
      <c r="H95" s="267"/>
      <c r="I95" s="196"/>
      <c r="J95" s="270"/>
      <c r="K95" s="273"/>
      <c r="L95" s="270"/>
      <c r="M95" s="273"/>
      <c r="N95" s="196"/>
      <c r="O95" s="256"/>
    </row>
    <row r="96" spans="1:22" s="3" customFormat="1" ht="177" customHeight="1" x14ac:dyDescent="0.25">
      <c r="A96" s="266"/>
      <c r="B96" s="268"/>
      <c r="C96" s="198"/>
      <c r="D96" s="198"/>
      <c r="E96" s="268"/>
      <c r="F96" s="198"/>
      <c r="G96" s="268"/>
      <c r="H96" s="268"/>
      <c r="I96" s="198"/>
      <c r="J96" s="271"/>
      <c r="K96" s="274"/>
      <c r="L96" s="271"/>
      <c r="M96" s="274"/>
      <c r="N96" s="198"/>
      <c r="O96" s="257"/>
    </row>
    <row r="97" spans="1:22" s="89" customFormat="1" ht="28.5" customHeight="1" x14ac:dyDescent="0.25">
      <c r="A97" s="247"/>
      <c r="B97" s="180" t="s">
        <v>120</v>
      </c>
      <c r="C97" s="181"/>
      <c r="D97" s="181"/>
      <c r="E97" s="181"/>
      <c r="F97" s="181"/>
      <c r="G97" s="181"/>
      <c r="H97" s="182"/>
      <c r="I97" s="96">
        <v>2023</v>
      </c>
      <c r="J97" s="62">
        <f t="shared" si="9"/>
        <v>279031.85127999901</v>
      </c>
      <c r="K97" s="62"/>
      <c r="L97" s="62">
        <f t="shared" ref="L97:L98" si="10">L93</f>
        <v>279031.85127999901</v>
      </c>
      <c r="M97" s="62"/>
      <c r="N97" s="97"/>
      <c r="O97" s="61"/>
      <c r="U97" s="98"/>
    </row>
    <row r="98" spans="1:22" s="3" customFormat="1" ht="26.45" customHeight="1" x14ac:dyDescent="0.25">
      <c r="A98" s="248"/>
      <c r="B98" s="183"/>
      <c r="C98" s="184"/>
      <c r="D98" s="184"/>
      <c r="E98" s="184"/>
      <c r="F98" s="184"/>
      <c r="G98" s="184"/>
      <c r="H98" s="185"/>
      <c r="I98" s="99">
        <v>2024</v>
      </c>
      <c r="J98" s="62">
        <f t="shared" si="9"/>
        <v>279031.84999999998</v>
      </c>
      <c r="K98" s="100"/>
      <c r="L98" s="100">
        <f t="shared" si="10"/>
        <v>279031.84999999998</v>
      </c>
      <c r="M98" s="100"/>
      <c r="N98" s="84"/>
      <c r="O98" s="61"/>
      <c r="U98" s="98"/>
    </row>
    <row r="99" spans="1:22" s="3" customFormat="1" ht="32.25" customHeight="1" x14ac:dyDescent="0.25">
      <c r="A99" s="84"/>
      <c r="B99" s="205" t="s">
        <v>121</v>
      </c>
      <c r="C99" s="206"/>
      <c r="D99" s="206"/>
      <c r="E99" s="206"/>
      <c r="F99" s="206"/>
      <c r="G99" s="206"/>
      <c r="H99" s="207"/>
      <c r="I99" s="101" t="s">
        <v>122</v>
      </c>
      <c r="J99" s="100">
        <f>SUM(J97:J98)</f>
        <v>558063.70127999899</v>
      </c>
      <c r="K99" s="100">
        <f>SUM(K97:K98)</f>
        <v>0</v>
      </c>
      <c r="L99" s="100">
        <f>SUM(L97:L98)</f>
        <v>558063.70127999899</v>
      </c>
      <c r="M99" s="100">
        <f>SUM(M97:M98)</f>
        <v>0</v>
      </c>
      <c r="N99" s="101"/>
      <c r="O99" s="84"/>
    </row>
    <row r="100" spans="1:22" ht="27" customHeight="1" x14ac:dyDescent="0.25">
      <c r="A100" s="249" t="s">
        <v>123</v>
      </c>
      <c r="B100" s="250"/>
      <c r="C100" s="250"/>
      <c r="D100" s="250"/>
      <c r="E100" s="250"/>
      <c r="F100" s="250"/>
      <c r="G100" s="250"/>
      <c r="H100" s="250"/>
      <c r="I100" s="250"/>
      <c r="J100" s="250"/>
      <c r="K100" s="250"/>
      <c r="L100" s="250"/>
      <c r="M100" s="250"/>
      <c r="N100" s="250"/>
      <c r="O100" s="251"/>
    </row>
    <row r="101" spans="1:22" s="102" customFormat="1" ht="23.25" customHeight="1" x14ac:dyDescent="0.35">
      <c r="A101" s="239" t="s">
        <v>124</v>
      </c>
      <c r="B101" s="241" t="s">
        <v>125</v>
      </c>
      <c r="C101" s="242">
        <v>90</v>
      </c>
      <c r="D101" s="242" t="s">
        <v>126</v>
      </c>
      <c r="E101" s="241" t="s">
        <v>127</v>
      </c>
      <c r="F101" s="244" t="s">
        <v>128</v>
      </c>
      <c r="G101" s="244" t="s">
        <v>129</v>
      </c>
      <c r="H101" s="244" t="s">
        <v>130</v>
      </c>
      <c r="I101" s="105">
        <v>2022</v>
      </c>
      <c r="J101" s="106">
        <f>K101+L101+M101+N101</f>
        <v>102435.01190999988</v>
      </c>
      <c r="K101" s="106"/>
      <c r="L101" s="106">
        <f>42828.5+11278.3459399999+39109.0149</f>
        <v>93215.860839999892</v>
      </c>
      <c r="M101" s="106">
        <f>5351.22652+3867.92455</f>
        <v>9219.1510699999999</v>
      </c>
      <c r="N101" s="107"/>
      <c r="O101" s="252">
        <f>37061.3780899999+4952.13+61198.6399999998</f>
        <v>103212.1480899998</v>
      </c>
      <c r="U101" s="108"/>
      <c r="V101" s="109"/>
    </row>
    <row r="102" spans="1:22" s="102" customFormat="1" ht="20.25" customHeight="1" x14ac:dyDescent="0.35">
      <c r="A102" s="239"/>
      <c r="B102" s="241"/>
      <c r="C102" s="242"/>
      <c r="D102" s="242"/>
      <c r="E102" s="241"/>
      <c r="F102" s="244"/>
      <c r="G102" s="244"/>
      <c r="H102" s="244"/>
      <c r="I102" s="105">
        <v>2023</v>
      </c>
      <c r="J102" s="106">
        <f t="shared" ref="J102:J104" si="11">SUM(K102:M102)</f>
        <v>79129.069999999905</v>
      </c>
      <c r="K102" s="106"/>
      <c r="L102" s="106">
        <f>88716.9499999999-16709.5</f>
        <v>72007.449999999895</v>
      </c>
      <c r="M102" s="106">
        <f>8774.2-1652.57999999999</f>
        <v>7121.6200000000108</v>
      </c>
      <c r="N102" s="107"/>
      <c r="O102" s="253"/>
      <c r="U102" s="108"/>
      <c r="V102" s="109"/>
    </row>
    <row r="103" spans="1:22" s="102" customFormat="1" ht="24.75" customHeight="1" x14ac:dyDescent="0.35">
      <c r="A103" s="239"/>
      <c r="B103" s="241"/>
      <c r="C103" s="242"/>
      <c r="D103" s="242"/>
      <c r="E103" s="241"/>
      <c r="F103" s="244"/>
      <c r="G103" s="244"/>
      <c r="H103" s="244"/>
      <c r="I103" s="105">
        <v>2024</v>
      </c>
      <c r="J103" s="106">
        <f t="shared" si="11"/>
        <v>23981.708010000002</v>
      </c>
      <c r="K103" s="106"/>
      <c r="L103" s="106">
        <v>21583.53801</v>
      </c>
      <c r="M103" s="106">
        <v>2398.17</v>
      </c>
      <c r="N103" s="107"/>
      <c r="O103" s="253"/>
      <c r="U103" s="108"/>
      <c r="V103" s="109"/>
    </row>
    <row r="104" spans="1:22" s="102" customFormat="1" ht="143.25" customHeight="1" x14ac:dyDescent="0.35">
      <c r="A104" s="239"/>
      <c r="B104" s="241"/>
      <c r="C104" s="242"/>
      <c r="D104" s="242"/>
      <c r="E104" s="241"/>
      <c r="F104" s="244"/>
      <c r="G104" s="244"/>
      <c r="H104" s="244"/>
      <c r="I104" s="105">
        <v>2025</v>
      </c>
      <c r="J104" s="106">
        <f t="shared" si="11"/>
        <v>60461.999999999905</v>
      </c>
      <c r="K104" s="106"/>
      <c r="L104" s="106">
        <f>19839.41373+35181.0062699999</f>
        <v>55020.419999999904</v>
      </c>
      <c r="M104" s="106">
        <v>5441.58</v>
      </c>
      <c r="N104" s="107"/>
      <c r="O104" s="253"/>
      <c r="U104" s="108">
        <v>0.91</v>
      </c>
      <c r="V104" s="109"/>
    </row>
    <row r="105" spans="1:22" s="102" customFormat="1" ht="30.75" customHeight="1" x14ac:dyDescent="0.25">
      <c r="A105" s="60" t="s">
        <v>131</v>
      </c>
      <c r="B105" s="205" t="s">
        <v>43</v>
      </c>
      <c r="C105" s="206"/>
      <c r="D105" s="206"/>
      <c r="E105" s="206"/>
      <c r="F105" s="206"/>
      <c r="G105" s="206"/>
      <c r="H105" s="207"/>
      <c r="I105" s="105"/>
      <c r="J105" s="107"/>
      <c r="K105" s="107"/>
      <c r="L105" s="107"/>
      <c r="M105" s="107"/>
      <c r="N105" s="107"/>
      <c r="O105" s="253"/>
    </row>
    <row r="106" spans="1:22" s="102" customFormat="1" ht="27.75" customHeight="1" x14ac:dyDescent="0.25">
      <c r="A106" s="216" t="s">
        <v>132</v>
      </c>
      <c r="B106" s="180" t="s">
        <v>45</v>
      </c>
      <c r="C106" s="181"/>
      <c r="D106" s="181"/>
      <c r="E106" s="181"/>
      <c r="F106" s="181"/>
      <c r="G106" s="181"/>
      <c r="H106" s="182"/>
      <c r="I106" s="105">
        <v>2022</v>
      </c>
      <c r="J106" s="106">
        <f>K106+L106+M106+N106</f>
        <v>102435.01190999988</v>
      </c>
      <c r="K106" s="106"/>
      <c r="L106" s="106">
        <f>42828.5+11278.3459399999+39109.0149</f>
        <v>93215.860839999892</v>
      </c>
      <c r="M106" s="106">
        <f>5351.22652+3867.92455</f>
        <v>9219.1510699999999</v>
      </c>
      <c r="N106" s="107"/>
      <c r="O106" s="253"/>
    </row>
    <row r="107" spans="1:22" s="102" customFormat="1" ht="24.75" customHeight="1" x14ac:dyDescent="0.25">
      <c r="A107" s="236"/>
      <c r="B107" s="183"/>
      <c r="C107" s="184"/>
      <c r="D107" s="184"/>
      <c r="E107" s="184"/>
      <c r="F107" s="184"/>
      <c r="G107" s="184"/>
      <c r="H107" s="185"/>
      <c r="I107" s="105">
        <v>2023</v>
      </c>
      <c r="J107" s="106">
        <f t="shared" ref="J107:J109" si="12">SUM(L107:M107)</f>
        <v>79129.069999999992</v>
      </c>
      <c r="K107" s="106"/>
      <c r="L107" s="106">
        <v>72007.45</v>
      </c>
      <c r="M107" s="106">
        <v>7121.62</v>
      </c>
      <c r="N107" s="107"/>
      <c r="O107" s="253"/>
    </row>
    <row r="108" spans="1:22" s="102" customFormat="1" ht="24.75" customHeight="1" x14ac:dyDescent="0.25">
      <c r="A108" s="236"/>
      <c r="B108" s="183"/>
      <c r="C108" s="184"/>
      <c r="D108" s="184"/>
      <c r="E108" s="184"/>
      <c r="F108" s="184"/>
      <c r="G108" s="184"/>
      <c r="H108" s="185"/>
      <c r="I108" s="105">
        <v>2024</v>
      </c>
      <c r="J108" s="106">
        <f t="shared" si="12"/>
        <v>23981.71</v>
      </c>
      <c r="K108" s="106"/>
      <c r="L108" s="106">
        <v>21583.54</v>
      </c>
      <c r="M108" s="106">
        <v>2398.17</v>
      </c>
      <c r="N108" s="107"/>
      <c r="O108" s="253"/>
    </row>
    <row r="109" spans="1:22" s="102" customFormat="1" ht="24.75" customHeight="1" x14ac:dyDescent="0.25">
      <c r="A109" s="236"/>
      <c r="B109" s="183"/>
      <c r="C109" s="184"/>
      <c r="D109" s="184"/>
      <c r="E109" s="184"/>
      <c r="F109" s="184"/>
      <c r="G109" s="184"/>
      <c r="H109" s="185"/>
      <c r="I109" s="110">
        <v>2025</v>
      </c>
      <c r="J109" s="106">
        <f t="shared" si="12"/>
        <v>60462</v>
      </c>
      <c r="K109" s="106"/>
      <c r="L109" s="106">
        <v>55020.42</v>
      </c>
      <c r="M109" s="106">
        <v>5441.58</v>
      </c>
      <c r="N109" s="107"/>
      <c r="O109" s="254"/>
    </row>
    <row r="110" spans="1:22" s="102" customFormat="1" ht="24.75" customHeight="1" x14ac:dyDescent="0.25">
      <c r="A110" s="216" t="s">
        <v>133</v>
      </c>
      <c r="B110" s="240" t="s">
        <v>134</v>
      </c>
      <c r="C110" s="195">
        <v>80</v>
      </c>
      <c r="D110" s="195" t="s">
        <v>135</v>
      </c>
      <c r="E110" s="240" t="s">
        <v>136</v>
      </c>
      <c r="F110" s="243" t="s">
        <v>137</v>
      </c>
      <c r="G110" s="243" t="s">
        <v>138</v>
      </c>
      <c r="H110" s="243" t="s">
        <v>139</v>
      </c>
      <c r="I110" s="105">
        <v>2022</v>
      </c>
      <c r="J110" s="111">
        <f t="shared" ref="J110:J118" si="13">K110+L110+M110+N110</f>
        <v>70000</v>
      </c>
      <c r="K110" s="111"/>
      <c r="L110" s="111">
        <v>63700</v>
      </c>
      <c r="M110" s="111">
        <v>6300</v>
      </c>
      <c r="N110" s="112"/>
      <c r="O110" s="234">
        <f>70000+15013.98+32203.1+24590.235</f>
        <v>141807.315</v>
      </c>
      <c r="P110" s="3"/>
      <c r="Q110" s="3"/>
      <c r="R110" s="3"/>
      <c r="S110" s="3"/>
      <c r="T110" s="3"/>
      <c r="U110" s="3"/>
    </row>
    <row r="111" spans="1:22" s="102" customFormat="1" ht="24.75" customHeight="1" x14ac:dyDescent="0.25">
      <c r="A111" s="239"/>
      <c r="B111" s="241"/>
      <c r="C111" s="242"/>
      <c r="D111" s="242"/>
      <c r="E111" s="241"/>
      <c r="F111" s="244"/>
      <c r="G111" s="244"/>
      <c r="H111" s="245"/>
      <c r="I111" s="105">
        <v>2023</v>
      </c>
      <c r="J111" s="113">
        <f t="shared" si="13"/>
        <v>118567.90000000001</v>
      </c>
      <c r="K111" s="111"/>
      <c r="L111" s="113">
        <v>106711.1</v>
      </c>
      <c r="M111" s="111">
        <v>11856.8</v>
      </c>
      <c r="N111" s="114"/>
      <c r="O111" s="196"/>
      <c r="P111" s="3"/>
      <c r="Q111" s="3"/>
      <c r="R111" s="3"/>
      <c r="S111" s="3"/>
      <c r="T111" s="3"/>
      <c r="U111" s="3"/>
    </row>
    <row r="112" spans="1:22" s="102" customFormat="1" ht="24.75" customHeight="1" x14ac:dyDescent="0.25">
      <c r="A112" s="239"/>
      <c r="B112" s="241"/>
      <c r="C112" s="242"/>
      <c r="D112" s="242"/>
      <c r="E112" s="241"/>
      <c r="F112" s="244"/>
      <c r="G112" s="244"/>
      <c r="H112" s="245"/>
      <c r="I112" s="105">
        <v>2024</v>
      </c>
      <c r="J112" s="111">
        <f t="shared" si="13"/>
        <v>180656.19084</v>
      </c>
      <c r="K112" s="113"/>
      <c r="L112" s="111">
        <v>160784.01084</v>
      </c>
      <c r="M112" s="113">
        <v>19872.18</v>
      </c>
      <c r="N112" s="112"/>
      <c r="O112" s="196"/>
      <c r="P112" s="3"/>
      <c r="Q112" s="3"/>
      <c r="R112" s="3"/>
      <c r="S112" s="3"/>
      <c r="T112" s="3"/>
      <c r="U112" s="3"/>
    </row>
    <row r="113" spans="1:21" s="102" customFormat="1" ht="66" customHeight="1" x14ac:dyDescent="0.25">
      <c r="A113" s="239"/>
      <c r="B113" s="241"/>
      <c r="C113" s="242"/>
      <c r="D113" s="242"/>
      <c r="E113" s="241"/>
      <c r="F113" s="244"/>
      <c r="G113" s="244"/>
      <c r="H113" s="246"/>
      <c r="I113" s="105">
        <v>2025</v>
      </c>
      <c r="J113" s="113">
        <f t="shared" si="13"/>
        <v>146803.60732000001</v>
      </c>
      <c r="K113" s="111"/>
      <c r="L113" s="113">
        <f>67204.04952+64919.19707</f>
        <v>132123.24659</v>
      </c>
      <c r="M113" s="111">
        <v>14680.36073</v>
      </c>
      <c r="N113" s="114"/>
      <c r="O113" s="196"/>
      <c r="P113" s="3"/>
      <c r="Q113" s="3"/>
      <c r="R113" s="3"/>
      <c r="S113" s="3"/>
      <c r="T113" s="3"/>
      <c r="U113" s="3"/>
    </row>
    <row r="114" spans="1:21" s="102" customFormat="1" ht="24.75" customHeight="1" x14ac:dyDescent="0.25">
      <c r="A114" s="103" t="s">
        <v>140</v>
      </c>
      <c r="B114" s="205" t="s">
        <v>43</v>
      </c>
      <c r="C114" s="206"/>
      <c r="D114" s="206"/>
      <c r="E114" s="206"/>
      <c r="F114" s="206"/>
      <c r="G114" s="206"/>
      <c r="H114" s="207"/>
      <c r="I114" s="105"/>
      <c r="J114" s="111"/>
      <c r="K114" s="113"/>
      <c r="L114" s="111"/>
      <c r="M114" s="113"/>
      <c r="N114" s="112"/>
      <c r="O114" s="196"/>
      <c r="P114" s="3"/>
      <c r="Q114" s="3"/>
      <c r="R114" s="3"/>
      <c r="S114" s="3"/>
      <c r="T114" s="3"/>
      <c r="U114" s="3"/>
    </row>
    <row r="115" spans="1:21" s="102" customFormat="1" ht="24.75" customHeight="1" x14ac:dyDescent="0.25">
      <c r="A115" s="216" t="s">
        <v>141</v>
      </c>
      <c r="B115" s="180" t="s">
        <v>45</v>
      </c>
      <c r="C115" s="181"/>
      <c r="D115" s="181"/>
      <c r="E115" s="181"/>
      <c r="F115" s="181"/>
      <c r="G115" s="181"/>
      <c r="H115" s="182"/>
      <c r="I115" s="105">
        <v>2022</v>
      </c>
      <c r="J115" s="113">
        <f t="shared" si="13"/>
        <v>70000</v>
      </c>
      <c r="K115" s="111"/>
      <c r="L115" s="113">
        <v>63700</v>
      </c>
      <c r="M115" s="111">
        <v>6300</v>
      </c>
      <c r="N115" s="114"/>
      <c r="O115" s="196"/>
      <c r="P115" s="3"/>
      <c r="Q115" s="3"/>
      <c r="R115" s="3"/>
      <c r="S115" s="3"/>
      <c r="T115" s="3"/>
      <c r="U115" s="3"/>
    </row>
    <row r="116" spans="1:21" s="102" customFormat="1" ht="24.75" customHeight="1" x14ac:dyDescent="0.25">
      <c r="A116" s="239"/>
      <c r="B116" s="183"/>
      <c r="C116" s="184"/>
      <c r="D116" s="184"/>
      <c r="E116" s="184"/>
      <c r="F116" s="184"/>
      <c r="G116" s="184"/>
      <c r="H116" s="185"/>
      <c r="I116" s="105">
        <v>2023</v>
      </c>
      <c r="J116" s="111">
        <f t="shared" si="13"/>
        <v>118567.90000000001</v>
      </c>
      <c r="K116" s="113"/>
      <c r="L116" s="111">
        <v>106711.1</v>
      </c>
      <c r="M116" s="113">
        <v>11856.8</v>
      </c>
      <c r="N116" s="112"/>
      <c r="O116" s="196"/>
      <c r="P116" s="3"/>
      <c r="Q116" s="3"/>
      <c r="R116" s="3"/>
      <c r="S116" s="3"/>
      <c r="T116" s="3"/>
      <c r="U116" s="3"/>
    </row>
    <row r="117" spans="1:21" s="102" customFormat="1" ht="24.75" customHeight="1" x14ac:dyDescent="0.25">
      <c r="A117" s="239"/>
      <c r="B117" s="183"/>
      <c r="C117" s="184"/>
      <c r="D117" s="184"/>
      <c r="E117" s="184"/>
      <c r="F117" s="184"/>
      <c r="G117" s="184"/>
      <c r="H117" s="185"/>
      <c r="I117" s="105">
        <v>2024</v>
      </c>
      <c r="J117" s="113">
        <f t="shared" si="13"/>
        <v>180656.19</v>
      </c>
      <c r="K117" s="111"/>
      <c r="L117" s="113">
        <v>160784.01</v>
      </c>
      <c r="M117" s="111">
        <v>19872.18</v>
      </c>
      <c r="N117" s="114"/>
      <c r="O117" s="196"/>
      <c r="P117" s="3"/>
      <c r="Q117" s="3"/>
      <c r="R117" s="3"/>
      <c r="S117" s="3"/>
      <c r="T117" s="3"/>
      <c r="U117" s="3">
        <f>M117/J117*100</f>
        <v>10.999999501816129</v>
      </c>
    </row>
    <row r="118" spans="1:21" s="102" customFormat="1" ht="24.75" customHeight="1" x14ac:dyDescent="0.25">
      <c r="A118" s="239"/>
      <c r="B118" s="189"/>
      <c r="C118" s="190"/>
      <c r="D118" s="190"/>
      <c r="E118" s="190"/>
      <c r="F118" s="190"/>
      <c r="G118" s="190"/>
      <c r="H118" s="191"/>
      <c r="I118" s="105">
        <v>2025</v>
      </c>
      <c r="J118" s="111">
        <f t="shared" si="13"/>
        <v>146803.60732000001</v>
      </c>
      <c r="K118" s="113"/>
      <c r="L118" s="111">
        <v>132123.24659</v>
      </c>
      <c r="M118" s="106">
        <v>14680.36073</v>
      </c>
      <c r="N118" s="112"/>
      <c r="O118" s="198"/>
      <c r="P118" s="3"/>
      <c r="Q118" s="3"/>
      <c r="R118" s="3"/>
      <c r="S118" s="3"/>
      <c r="T118" s="3"/>
      <c r="U118" s="3">
        <v>10</v>
      </c>
    </row>
    <row r="119" spans="1:21" ht="21.75" customHeight="1" x14ac:dyDescent="0.35">
      <c r="A119" s="209" t="s">
        <v>142</v>
      </c>
      <c r="B119" s="237" t="s">
        <v>143</v>
      </c>
      <c r="C119" s="238">
        <v>103</v>
      </c>
      <c r="D119" s="238" t="s">
        <v>66</v>
      </c>
      <c r="E119" s="237" t="s">
        <v>144</v>
      </c>
      <c r="F119" s="238" t="s">
        <v>145</v>
      </c>
      <c r="G119" s="215" t="s">
        <v>146</v>
      </c>
      <c r="H119" s="215" t="s">
        <v>147</v>
      </c>
      <c r="I119" s="116">
        <v>2024</v>
      </c>
      <c r="J119" s="106">
        <f t="shared" ref="J119:J181" si="14">SUM(K119:N119)</f>
        <v>106260.308</v>
      </c>
      <c r="K119" s="107"/>
      <c r="L119" s="106">
        <v>95634.308000000005</v>
      </c>
      <c r="M119" s="107">
        <v>10626</v>
      </c>
      <c r="N119" s="107"/>
      <c r="O119" s="195">
        <f>106260.34+82876.82</f>
        <v>189137.16</v>
      </c>
      <c r="U119" s="117">
        <f>M119/J119</f>
        <v>9.9999710145767695E-2</v>
      </c>
    </row>
    <row r="120" spans="1:21" ht="28.5" customHeight="1" x14ac:dyDescent="0.35">
      <c r="A120" s="209"/>
      <c r="B120" s="211"/>
      <c r="C120" s="212"/>
      <c r="D120" s="212"/>
      <c r="E120" s="211"/>
      <c r="F120" s="212"/>
      <c r="G120" s="213"/>
      <c r="H120" s="213"/>
      <c r="I120" s="116">
        <v>2025</v>
      </c>
      <c r="J120" s="106">
        <f t="shared" si="14"/>
        <v>115902.30769</v>
      </c>
      <c r="K120" s="107"/>
      <c r="L120" s="106">
        <f>74920.5+30550.6</f>
        <v>105471.1</v>
      </c>
      <c r="M120" s="106">
        <f>7409.72+3021.48769</f>
        <v>10431.207689999999</v>
      </c>
      <c r="N120" s="107"/>
      <c r="O120" s="196"/>
      <c r="U120" s="117"/>
    </row>
    <row r="121" spans="1:21" ht="94.5" customHeight="1" x14ac:dyDescent="0.35">
      <c r="A121" s="210"/>
      <c r="B121" s="211"/>
      <c r="C121" s="212"/>
      <c r="D121" s="212"/>
      <c r="E121" s="211"/>
      <c r="F121" s="212"/>
      <c r="G121" s="213"/>
      <c r="H121" s="213"/>
      <c r="I121" s="116">
        <v>2026</v>
      </c>
      <c r="J121" s="106">
        <f t="shared" si="14"/>
        <v>15164.359999999999</v>
      </c>
      <c r="K121" s="118"/>
      <c r="L121" s="106">
        <v>13344.64</v>
      </c>
      <c r="M121" s="106">
        <v>1819.72</v>
      </c>
      <c r="N121" s="107"/>
      <c r="O121" s="196"/>
      <c r="U121" s="117"/>
    </row>
    <row r="122" spans="1:21" ht="24" customHeight="1" x14ac:dyDescent="0.25">
      <c r="A122" s="103" t="s">
        <v>148</v>
      </c>
      <c r="B122" s="189" t="s">
        <v>43</v>
      </c>
      <c r="C122" s="190"/>
      <c r="D122" s="190"/>
      <c r="E122" s="190"/>
      <c r="F122" s="190"/>
      <c r="G122" s="190"/>
      <c r="H122" s="191"/>
      <c r="I122" s="119"/>
      <c r="J122" s="107"/>
      <c r="K122" s="107"/>
      <c r="L122" s="107"/>
      <c r="M122" s="107"/>
      <c r="N122" s="107"/>
      <c r="O122" s="196"/>
    </row>
    <row r="123" spans="1:21" ht="23.25" customHeight="1" x14ac:dyDescent="0.25">
      <c r="A123" s="216" t="s">
        <v>149</v>
      </c>
      <c r="B123" s="180" t="s">
        <v>45</v>
      </c>
      <c r="C123" s="181"/>
      <c r="D123" s="181"/>
      <c r="E123" s="181"/>
      <c r="F123" s="181"/>
      <c r="G123" s="181"/>
      <c r="H123" s="182"/>
      <c r="I123" s="119">
        <v>2024</v>
      </c>
      <c r="J123" s="106">
        <f t="shared" si="14"/>
        <v>106260.31</v>
      </c>
      <c r="K123" s="107"/>
      <c r="L123" s="106">
        <v>95634.31</v>
      </c>
      <c r="M123" s="107">
        <v>10626</v>
      </c>
      <c r="N123" s="107"/>
      <c r="O123" s="196"/>
    </row>
    <row r="124" spans="1:21" ht="23.25" customHeight="1" x14ac:dyDescent="0.25">
      <c r="A124" s="236"/>
      <c r="B124" s="183"/>
      <c r="C124" s="184"/>
      <c r="D124" s="184"/>
      <c r="E124" s="184"/>
      <c r="F124" s="184"/>
      <c r="G124" s="184"/>
      <c r="H124" s="185"/>
      <c r="I124" s="119">
        <v>2025</v>
      </c>
      <c r="J124" s="106">
        <f t="shared" si="14"/>
        <v>115902.31</v>
      </c>
      <c r="K124" s="107"/>
      <c r="L124" s="106">
        <v>105471.1</v>
      </c>
      <c r="M124" s="106">
        <v>10431.209999999999</v>
      </c>
      <c r="N124" s="107"/>
      <c r="O124" s="196"/>
    </row>
    <row r="125" spans="1:21" ht="23.25" customHeight="1" x14ac:dyDescent="0.25">
      <c r="A125" s="217"/>
      <c r="B125" s="189"/>
      <c r="C125" s="190"/>
      <c r="D125" s="190"/>
      <c r="E125" s="190"/>
      <c r="F125" s="190"/>
      <c r="G125" s="190"/>
      <c r="H125" s="191"/>
      <c r="I125" s="119">
        <v>2026</v>
      </c>
      <c r="J125" s="106">
        <f t="shared" si="14"/>
        <v>15164.359999999999</v>
      </c>
      <c r="K125" s="107"/>
      <c r="L125" s="106">
        <v>13344.64</v>
      </c>
      <c r="M125" s="106">
        <v>1819.72</v>
      </c>
      <c r="N125" s="107"/>
      <c r="O125" s="196"/>
    </row>
    <row r="126" spans="1:21" ht="24.75" customHeight="1" x14ac:dyDescent="0.25">
      <c r="A126" s="233" t="s">
        <v>150</v>
      </c>
      <c r="B126" s="211" t="s">
        <v>151</v>
      </c>
      <c r="C126" s="212">
        <v>93</v>
      </c>
      <c r="D126" s="212" t="s">
        <v>152</v>
      </c>
      <c r="E126" s="211" t="s">
        <v>153</v>
      </c>
      <c r="F126" s="212" t="s">
        <v>154</v>
      </c>
      <c r="G126" s="211" t="s">
        <v>155</v>
      </c>
      <c r="H126" s="211" t="s">
        <v>156</v>
      </c>
      <c r="I126" s="116">
        <v>2024</v>
      </c>
      <c r="J126" s="106">
        <f t="shared" si="14"/>
        <v>60000</v>
      </c>
      <c r="K126" s="107"/>
      <c r="L126" s="106">
        <v>54000</v>
      </c>
      <c r="M126" s="107">
        <v>6000</v>
      </c>
      <c r="N126" s="107"/>
      <c r="O126" s="234">
        <f>60000+138377.97</f>
        <v>198377.97</v>
      </c>
    </row>
    <row r="127" spans="1:21" ht="32.25" customHeight="1" x14ac:dyDescent="0.35">
      <c r="A127" s="233"/>
      <c r="B127" s="211"/>
      <c r="C127" s="212"/>
      <c r="D127" s="212"/>
      <c r="E127" s="211"/>
      <c r="F127" s="212"/>
      <c r="G127" s="211"/>
      <c r="H127" s="211"/>
      <c r="I127" s="116">
        <v>2025</v>
      </c>
      <c r="J127" s="106">
        <f t="shared" si="14"/>
        <v>153533.84</v>
      </c>
      <c r="K127" s="107"/>
      <c r="L127" s="106">
        <v>136645.12</v>
      </c>
      <c r="M127" s="106">
        <v>16888.72</v>
      </c>
      <c r="N127" s="107"/>
      <c r="O127" s="235"/>
      <c r="U127" s="117"/>
    </row>
    <row r="128" spans="1:21" ht="145.5" customHeight="1" x14ac:dyDescent="0.35">
      <c r="A128" s="233"/>
      <c r="B128" s="211"/>
      <c r="C128" s="212"/>
      <c r="D128" s="212"/>
      <c r="E128" s="211"/>
      <c r="F128" s="212"/>
      <c r="G128" s="211"/>
      <c r="H128" s="211"/>
      <c r="I128" s="116">
        <v>2026</v>
      </c>
      <c r="J128" s="106">
        <f t="shared" si="14"/>
        <v>38055.360000000001</v>
      </c>
      <c r="K128" s="107"/>
      <c r="L128" s="106">
        <f>13488.72+20000</f>
        <v>33488.720000000001</v>
      </c>
      <c r="M128" s="106">
        <v>4566.6400000000003</v>
      </c>
      <c r="N128" s="107"/>
      <c r="O128" s="235"/>
      <c r="U128" s="117"/>
    </row>
    <row r="129" spans="1:257" ht="19.5" customHeight="1" x14ac:dyDescent="0.25">
      <c r="A129" s="60" t="s">
        <v>157</v>
      </c>
      <c r="B129" s="189" t="s">
        <v>43</v>
      </c>
      <c r="C129" s="190"/>
      <c r="D129" s="190"/>
      <c r="E129" s="190"/>
      <c r="F129" s="190"/>
      <c r="G129" s="190"/>
      <c r="H129" s="191"/>
      <c r="I129" s="119"/>
      <c r="J129" s="107"/>
      <c r="K129" s="107"/>
      <c r="L129" s="107"/>
      <c r="M129" s="107"/>
      <c r="N129" s="107"/>
      <c r="O129" s="235"/>
    </row>
    <row r="130" spans="1:257" ht="19.5" customHeight="1" x14ac:dyDescent="0.25">
      <c r="A130" s="216" t="s">
        <v>149</v>
      </c>
      <c r="B130" s="180" t="s">
        <v>45</v>
      </c>
      <c r="C130" s="181"/>
      <c r="D130" s="181"/>
      <c r="E130" s="181"/>
      <c r="F130" s="181"/>
      <c r="G130" s="181"/>
      <c r="H130" s="182"/>
      <c r="I130" s="119">
        <v>2024</v>
      </c>
      <c r="J130" s="107">
        <f t="shared" si="14"/>
        <v>60000</v>
      </c>
      <c r="K130" s="107"/>
      <c r="L130" s="107">
        <v>54000</v>
      </c>
      <c r="M130" s="107">
        <v>6000</v>
      </c>
      <c r="N130" s="107"/>
      <c r="O130" s="235"/>
    </row>
    <row r="131" spans="1:257" ht="23.25" customHeight="1" x14ac:dyDescent="0.25">
      <c r="A131" s="236"/>
      <c r="B131" s="183"/>
      <c r="C131" s="184"/>
      <c r="D131" s="184"/>
      <c r="E131" s="184"/>
      <c r="F131" s="184"/>
      <c r="G131" s="184"/>
      <c r="H131" s="185"/>
      <c r="I131" s="119">
        <v>2025</v>
      </c>
      <c r="J131" s="106">
        <f t="shared" si="14"/>
        <v>153533.84</v>
      </c>
      <c r="K131" s="107"/>
      <c r="L131" s="106">
        <v>136645.12</v>
      </c>
      <c r="M131" s="106">
        <v>16888.72</v>
      </c>
      <c r="N131" s="107"/>
      <c r="O131" s="235"/>
      <c r="U131" s="3">
        <v>89</v>
      </c>
    </row>
    <row r="132" spans="1:257" ht="23.25" customHeight="1" x14ac:dyDescent="0.25">
      <c r="A132" s="217"/>
      <c r="B132" s="189"/>
      <c r="C132" s="190"/>
      <c r="D132" s="190"/>
      <c r="E132" s="190"/>
      <c r="F132" s="190"/>
      <c r="G132" s="190"/>
      <c r="H132" s="191"/>
      <c r="I132" s="119">
        <v>2026</v>
      </c>
      <c r="J132" s="106">
        <f t="shared" si="14"/>
        <v>38055.360000000001</v>
      </c>
      <c r="K132" s="107"/>
      <c r="L132" s="106">
        <v>33488.720000000001</v>
      </c>
      <c r="M132" s="106">
        <v>4566.6400000000003</v>
      </c>
      <c r="N132" s="107"/>
      <c r="O132" s="235"/>
    </row>
    <row r="133" spans="1:257" ht="100.5" customHeight="1" x14ac:dyDescent="0.35">
      <c r="A133" s="60" t="s">
        <v>158</v>
      </c>
      <c r="B133" s="61" t="s">
        <v>159</v>
      </c>
      <c r="C133" s="16">
        <v>25</v>
      </c>
      <c r="D133" s="16">
        <v>2026</v>
      </c>
      <c r="E133" s="58" t="s">
        <v>160</v>
      </c>
      <c r="F133" s="16" t="s">
        <v>161</v>
      </c>
      <c r="G133" s="104" t="s">
        <v>162</v>
      </c>
      <c r="H133" s="104" t="s">
        <v>163</v>
      </c>
      <c r="I133" s="119">
        <v>2026</v>
      </c>
      <c r="J133" s="106">
        <f t="shared" si="14"/>
        <v>64165.247199999998</v>
      </c>
      <c r="K133" s="107"/>
      <c r="L133" s="106">
        <v>55823.767200000002</v>
      </c>
      <c r="M133" s="106">
        <v>8341.48</v>
      </c>
      <c r="N133" s="107"/>
      <c r="O133" s="195"/>
      <c r="U133" s="117"/>
    </row>
    <row r="134" spans="1:257" ht="27" customHeight="1" x14ac:dyDescent="0.25">
      <c r="A134" s="103" t="s">
        <v>164</v>
      </c>
      <c r="B134" s="205" t="s">
        <v>43</v>
      </c>
      <c r="C134" s="206"/>
      <c r="D134" s="206"/>
      <c r="E134" s="206"/>
      <c r="F134" s="206"/>
      <c r="G134" s="206"/>
      <c r="H134" s="207"/>
      <c r="I134" s="119"/>
      <c r="J134" s="107"/>
      <c r="K134" s="107"/>
      <c r="L134" s="107"/>
      <c r="M134" s="107"/>
      <c r="N134" s="107"/>
      <c r="O134" s="196"/>
    </row>
    <row r="135" spans="1:257" ht="24" customHeight="1" x14ac:dyDescent="0.25">
      <c r="A135" s="103" t="s">
        <v>165</v>
      </c>
      <c r="B135" s="205" t="s">
        <v>45</v>
      </c>
      <c r="C135" s="206"/>
      <c r="D135" s="206"/>
      <c r="E135" s="206"/>
      <c r="F135" s="206"/>
      <c r="G135" s="206"/>
      <c r="H135" s="207"/>
      <c r="I135" s="119">
        <v>2026</v>
      </c>
      <c r="J135" s="106">
        <f t="shared" si="14"/>
        <v>64165.247199999998</v>
      </c>
      <c r="K135" s="107"/>
      <c r="L135" s="106">
        <v>55823.767200000002</v>
      </c>
      <c r="M135" s="106">
        <v>8341.48</v>
      </c>
      <c r="N135" s="107"/>
      <c r="O135" s="198"/>
    </row>
    <row r="136" spans="1:257" s="120" customFormat="1" ht="100.5" customHeight="1" x14ac:dyDescent="0.35">
      <c r="A136" s="121" t="s">
        <v>166</v>
      </c>
      <c r="B136" s="122" t="s">
        <v>167</v>
      </c>
      <c r="C136" s="123">
        <v>44</v>
      </c>
      <c r="D136" s="123">
        <v>2026</v>
      </c>
      <c r="E136" s="124" t="s">
        <v>168</v>
      </c>
      <c r="F136" s="125" t="s">
        <v>169</v>
      </c>
      <c r="G136" s="126" t="s">
        <v>170</v>
      </c>
      <c r="H136" s="126" t="s">
        <v>171</v>
      </c>
      <c r="I136" s="127">
        <v>2026</v>
      </c>
      <c r="J136" s="128">
        <f t="shared" si="14"/>
        <v>11837.52</v>
      </c>
      <c r="K136" s="129"/>
      <c r="L136" s="128">
        <v>10653.77</v>
      </c>
      <c r="M136" s="128">
        <v>1183.75</v>
      </c>
      <c r="N136" s="129"/>
      <c r="O136" s="218"/>
      <c r="P136" s="130"/>
      <c r="Q136" s="130"/>
      <c r="R136" s="130"/>
      <c r="S136" s="130"/>
      <c r="T136" s="130"/>
      <c r="U136" s="131"/>
    </row>
    <row r="137" spans="1:257" s="120" customFormat="1" ht="27" customHeight="1" x14ac:dyDescent="0.25">
      <c r="A137" s="132" t="s">
        <v>172</v>
      </c>
      <c r="B137" s="221" t="s">
        <v>43</v>
      </c>
      <c r="C137" s="222"/>
      <c r="D137" s="222"/>
      <c r="E137" s="222"/>
      <c r="F137" s="222"/>
      <c r="G137" s="222"/>
      <c r="H137" s="223"/>
      <c r="I137" s="127"/>
      <c r="J137" s="129"/>
      <c r="K137" s="129"/>
      <c r="L137" s="129"/>
      <c r="M137" s="129"/>
      <c r="N137" s="129"/>
      <c r="O137" s="219"/>
      <c r="P137" s="130"/>
      <c r="Q137" s="130"/>
      <c r="R137" s="130"/>
      <c r="S137" s="130"/>
      <c r="T137" s="130"/>
    </row>
    <row r="138" spans="1:257" s="120" customFormat="1" ht="24" customHeight="1" x14ac:dyDescent="0.25">
      <c r="A138" s="132" t="s">
        <v>173</v>
      </c>
      <c r="B138" s="221" t="s">
        <v>45</v>
      </c>
      <c r="C138" s="222"/>
      <c r="D138" s="222"/>
      <c r="E138" s="222"/>
      <c r="F138" s="222"/>
      <c r="G138" s="222"/>
      <c r="H138" s="223"/>
      <c r="I138" s="127">
        <v>2026</v>
      </c>
      <c r="J138" s="128">
        <f t="shared" si="14"/>
        <v>11837.52</v>
      </c>
      <c r="K138" s="129"/>
      <c r="L138" s="128">
        <v>10653.77</v>
      </c>
      <c r="M138" s="128">
        <v>1183.75</v>
      </c>
      <c r="N138" s="129"/>
      <c r="O138" s="220"/>
      <c r="P138" s="130"/>
      <c r="Q138" s="130"/>
      <c r="R138" s="130"/>
      <c r="S138" s="130"/>
      <c r="T138" s="130"/>
      <c r="U138" s="130"/>
      <c r="V138" s="130"/>
      <c r="W138" s="130"/>
      <c r="X138" s="130"/>
      <c r="Y138" s="130"/>
      <c r="Z138" s="130"/>
      <c r="AA138" s="130"/>
      <c r="AB138" s="130"/>
      <c r="AC138" s="130"/>
      <c r="AD138" s="130"/>
      <c r="AE138" s="130"/>
      <c r="AF138" s="130"/>
      <c r="AG138" s="130"/>
      <c r="AH138" s="130"/>
      <c r="AI138" s="130"/>
      <c r="AJ138" s="130"/>
      <c r="AK138" s="130"/>
      <c r="AL138" s="130"/>
      <c r="AM138" s="130"/>
      <c r="AN138" s="130"/>
      <c r="AO138" s="130"/>
      <c r="AP138" s="130"/>
      <c r="AQ138" s="130"/>
      <c r="AR138" s="130"/>
      <c r="AS138" s="130"/>
      <c r="AT138" s="130"/>
      <c r="AU138" s="130"/>
      <c r="AV138" s="130"/>
      <c r="AW138" s="130"/>
      <c r="AX138" s="130"/>
      <c r="AY138" s="130"/>
      <c r="AZ138" s="130"/>
      <c r="BA138" s="130"/>
      <c r="BB138" s="130"/>
      <c r="BC138" s="130"/>
      <c r="BD138" s="130"/>
      <c r="BE138" s="130"/>
      <c r="BF138" s="130"/>
      <c r="BG138" s="130"/>
      <c r="BH138" s="130"/>
      <c r="BI138" s="130"/>
      <c r="BJ138" s="130"/>
      <c r="BK138" s="130"/>
      <c r="BL138" s="130"/>
      <c r="BM138" s="130"/>
      <c r="BN138" s="130"/>
      <c r="BO138" s="130"/>
      <c r="BP138" s="130"/>
      <c r="BQ138" s="130"/>
      <c r="BR138" s="130"/>
      <c r="BS138" s="130"/>
      <c r="BT138" s="130"/>
      <c r="BU138" s="130"/>
      <c r="BV138" s="130"/>
      <c r="BW138" s="130"/>
      <c r="BX138" s="130"/>
      <c r="BY138" s="130"/>
      <c r="BZ138" s="130"/>
      <c r="CA138" s="130"/>
      <c r="CB138" s="130"/>
      <c r="CC138" s="130"/>
      <c r="CD138" s="130"/>
      <c r="CE138" s="130"/>
      <c r="CF138" s="130"/>
      <c r="CG138" s="130"/>
      <c r="CH138" s="130"/>
      <c r="CI138" s="130"/>
      <c r="CJ138" s="130"/>
      <c r="CK138" s="130"/>
      <c r="CL138" s="130"/>
      <c r="CM138" s="130"/>
      <c r="CN138" s="130"/>
      <c r="CO138" s="130"/>
      <c r="CP138" s="130"/>
      <c r="CQ138" s="130"/>
      <c r="CR138" s="130"/>
      <c r="CS138" s="130"/>
      <c r="CT138" s="130"/>
      <c r="CU138" s="130"/>
      <c r="CV138" s="130"/>
      <c r="CW138" s="130"/>
      <c r="CX138" s="130"/>
      <c r="CY138" s="130"/>
      <c r="CZ138" s="130"/>
      <c r="DA138" s="130"/>
      <c r="DB138" s="130"/>
      <c r="DC138" s="130"/>
      <c r="DD138" s="130"/>
      <c r="DE138" s="130"/>
      <c r="DF138" s="130"/>
      <c r="DG138" s="130"/>
      <c r="DH138" s="130"/>
      <c r="DI138" s="130"/>
      <c r="DJ138" s="130"/>
      <c r="DK138" s="130"/>
      <c r="DL138" s="130"/>
      <c r="DM138" s="130"/>
      <c r="DN138" s="130"/>
      <c r="DO138" s="130"/>
      <c r="DP138" s="130"/>
      <c r="DQ138" s="130"/>
      <c r="DR138" s="130"/>
      <c r="DS138" s="130"/>
      <c r="DT138" s="130"/>
      <c r="DU138" s="130"/>
      <c r="DV138" s="130"/>
      <c r="DW138" s="130"/>
      <c r="DX138" s="130"/>
      <c r="DY138" s="130"/>
      <c r="DZ138" s="130"/>
      <c r="EA138" s="130"/>
      <c r="EB138" s="130"/>
      <c r="EC138" s="130"/>
      <c r="ED138" s="130"/>
      <c r="EE138" s="130"/>
      <c r="EF138" s="130"/>
      <c r="EG138" s="130"/>
      <c r="EH138" s="130"/>
      <c r="EI138" s="130"/>
      <c r="EJ138" s="130"/>
      <c r="EK138" s="130"/>
      <c r="EL138" s="130"/>
      <c r="EM138" s="130"/>
      <c r="EN138" s="130"/>
      <c r="EO138" s="130"/>
      <c r="EP138" s="130"/>
      <c r="EQ138" s="130"/>
      <c r="ER138" s="130"/>
      <c r="ES138" s="130"/>
      <c r="ET138" s="130"/>
      <c r="EU138" s="130"/>
      <c r="EV138" s="130"/>
      <c r="EW138" s="130"/>
      <c r="EX138" s="130"/>
      <c r="EY138" s="130"/>
      <c r="EZ138" s="130"/>
      <c r="FA138" s="130"/>
      <c r="FB138" s="130"/>
      <c r="FC138" s="130"/>
      <c r="FD138" s="130"/>
      <c r="FE138" s="130"/>
      <c r="FF138" s="130"/>
      <c r="FG138" s="130"/>
      <c r="FH138" s="130"/>
      <c r="FI138" s="130"/>
      <c r="FJ138" s="130"/>
      <c r="FK138" s="130"/>
      <c r="FL138" s="130"/>
      <c r="FM138" s="130"/>
      <c r="FN138" s="130"/>
      <c r="FO138" s="130"/>
      <c r="FP138" s="130"/>
      <c r="FQ138" s="130"/>
      <c r="FR138" s="130"/>
      <c r="FS138" s="130"/>
      <c r="FT138" s="130"/>
      <c r="FU138" s="130"/>
      <c r="FV138" s="130"/>
      <c r="FW138" s="130"/>
      <c r="FX138" s="130"/>
      <c r="FY138" s="130"/>
      <c r="FZ138" s="130"/>
      <c r="GA138" s="130"/>
      <c r="GB138" s="130"/>
      <c r="GC138" s="130"/>
      <c r="GD138" s="130"/>
      <c r="GE138" s="130"/>
      <c r="GF138" s="130"/>
      <c r="GG138" s="130"/>
      <c r="GH138" s="130"/>
      <c r="GI138" s="130"/>
      <c r="GJ138" s="130"/>
      <c r="GK138" s="130"/>
      <c r="GL138" s="130"/>
      <c r="GM138" s="130"/>
      <c r="GN138" s="130"/>
      <c r="GO138" s="130"/>
      <c r="GP138" s="130"/>
      <c r="GQ138" s="130"/>
      <c r="GR138" s="130"/>
      <c r="GS138" s="130"/>
      <c r="GT138" s="130"/>
      <c r="GU138" s="130"/>
      <c r="GV138" s="130"/>
      <c r="GW138" s="130"/>
      <c r="GX138" s="130"/>
      <c r="GY138" s="130"/>
      <c r="GZ138" s="130"/>
      <c r="HA138" s="130"/>
      <c r="HB138" s="130"/>
      <c r="HC138" s="130"/>
      <c r="HD138" s="130"/>
      <c r="HE138" s="130"/>
      <c r="HF138" s="130"/>
      <c r="HG138" s="130"/>
      <c r="HH138" s="130"/>
      <c r="HI138" s="130"/>
      <c r="HJ138" s="130"/>
      <c r="HK138" s="130"/>
      <c r="HL138" s="130"/>
      <c r="HM138" s="130"/>
      <c r="HN138" s="130"/>
      <c r="HO138" s="130"/>
      <c r="HP138" s="130"/>
      <c r="HQ138" s="130"/>
      <c r="HR138" s="130"/>
      <c r="HS138" s="130"/>
      <c r="HT138" s="130"/>
      <c r="HU138" s="130"/>
      <c r="HV138" s="130"/>
      <c r="HW138" s="130"/>
      <c r="HX138" s="130"/>
      <c r="HY138" s="130"/>
      <c r="HZ138" s="130"/>
      <c r="IA138" s="130"/>
      <c r="IB138" s="130"/>
      <c r="IC138" s="130"/>
      <c r="ID138" s="130"/>
      <c r="IE138" s="130"/>
      <c r="IF138" s="130"/>
      <c r="IG138" s="130"/>
      <c r="IH138" s="130"/>
      <c r="II138" s="130"/>
      <c r="IJ138" s="130"/>
      <c r="IK138" s="130"/>
      <c r="IL138" s="130"/>
      <c r="IM138" s="130"/>
      <c r="IN138" s="130"/>
      <c r="IO138" s="130"/>
      <c r="IP138" s="130"/>
      <c r="IQ138" s="130"/>
      <c r="IR138" s="130"/>
      <c r="IS138" s="130"/>
      <c r="IT138" s="130"/>
      <c r="IU138" s="130"/>
      <c r="IV138" s="130"/>
      <c r="IW138" s="130"/>
    </row>
    <row r="139" spans="1:257" ht="147" customHeight="1" x14ac:dyDescent="0.35">
      <c r="A139" s="60" t="s">
        <v>174</v>
      </c>
      <c r="B139" s="61" t="s">
        <v>175</v>
      </c>
      <c r="C139" s="16">
        <v>18</v>
      </c>
      <c r="D139" s="16">
        <v>2026</v>
      </c>
      <c r="E139" s="58" t="s">
        <v>176</v>
      </c>
      <c r="F139" s="18" t="s">
        <v>177</v>
      </c>
      <c r="G139" s="104" t="s">
        <v>178</v>
      </c>
      <c r="H139" s="104" t="s">
        <v>179</v>
      </c>
      <c r="I139" s="119">
        <v>2026</v>
      </c>
      <c r="J139" s="106">
        <f t="shared" si="14"/>
        <v>12513.77</v>
      </c>
      <c r="K139" s="107"/>
      <c r="L139" s="106">
        <v>11888.08</v>
      </c>
      <c r="M139" s="106">
        <v>625.69000000000005</v>
      </c>
      <c r="N139" s="107"/>
      <c r="O139" s="195"/>
      <c r="U139" s="117"/>
    </row>
    <row r="140" spans="1:257" ht="27" customHeight="1" x14ac:dyDescent="0.25">
      <c r="A140" s="103" t="s">
        <v>180</v>
      </c>
      <c r="B140" s="205" t="s">
        <v>43</v>
      </c>
      <c r="C140" s="206"/>
      <c r="D140" s="206"/>
      <c r="E140" s="206"/>
      <c r="F140" s="206"/>
      <c r="G140" s="206"/>
      <c r="H140" s="207"/>
      <c r="I140" s="119"/>
      <c r="J140" s="107"/>
      <c r="K140" s="107"/>
      <c r="L140" s="107"/>
      <c r="M140" s="107"/>
      <c r="N140" s="107"/>
      <c r="O140" s="196"/>
    </row>
    <row r="141" spans="1:257" ht="24" customHeight="1" x14ac:dyDescent="0.25">
      <c r="A141" s="103" t="s">
        <v>181</v>
      </c>
      <c r="B141" s="205" t="s">
        <v>45</v>
      </c>
      <c r="C141" s="206"/>
      <c r="D141" s="206"/>
      <c r="E141" s="206"/>
      <c r="F141" s="206"/>
      <c r="G141" s="206"/>
      <c r="H141" s="207"/>
      <c r="I141" s="119">
        <v>2026</v>
      </c>
      <c r="J141" s="106">
        <f t="shared" si="14"/>
        <v>12513.77</v>
      </c>
      <c r="K141" s="107"/>
      <c r="L141" s="106">
        <v>11888.08</v>
      </c>
      <c r="M141" s="106">
        <v>625.69000000000005</v>
      </c>
      <c r="N141" s="107"/>
      <c r="O141" s="198"/>
    </row>
    <row r="142" spans="1:257" ht="145.5" customHeight="1" x14ac:dyDescent="0.35">
      <c r="A142" s="60" t="s">
        <v>182</v>
      </c>
      <c r="B142" s="61" t="s">
        <v>183</v>
      </c>
      <c r="C142" s="16">
        <v>12</v>
      </c>
      <c r="D142" s="16">
        <v>2026</v>
      </c>
      <c r="E142" s="58" t="s">
        <v>184</v>
      </c>
      <c r="F142" s="18" t="s">
        <v>185</v>
      </c>
      <c r="G142" s="104" t="s">
        <v>178</v>
      </c>
      <c r="H142" s="134" t="s">
        <v>179</v>
      </c>
      <c r="I142" s="119">
        <v>2026</v>
      </c>
      <c r="J142" s="106">
        <f t="shared" si="14"/>
        <v>12071.69</v>
      </c>
      <c r="K142" s="107"/>
      <c r="L142" s="106">
        <v>11468.11</v>
      </c>
      <c r="M142" s="106">
        <v>603.58000000000004</v>
      </c>
      <c r="N142" s="107"/>
      <c r="O142" s="195"/>
      <c r="U142" s="117"/>
    </row>
    <row r="143" spans="1:257" ht="27" customHeight="1" x14ac:dyDescent="0.25">
      <c r="A143" s="103" t="s">
        <v>186</v>
      </c>
      <c r="B143" s="205" t="s">
        <v>43</v>
      </c>
      <c r="C143" s="206"/>
      <c r="D143" s="206"/>
      <c r="E143" s="206"/>
      <c r="F143" s="206"/>
      <c r="G143" s="206"/>
      <c r="H143" s="207"/>
      <c r="I143" s="119"/>
      <c r="J143" s="107"/>
      <c r="K143" s="107"/>
      <c r="L143" s="107"/>
      <c r="M143" s="107"/>
      <c r="N143" s="107"/>
      <c r="O143" s="196"/>
    </row>
    <row r="144" spans="1:257" ht="24" customHeight="1" x14ac:dyDescent="0.25">
      <c r="A144" s="103" t="s">
        <v>187</v>
      </c>
      <c r="B144" s="205" t="s">
        <v>45</v>
      </c>
      <c r="C144" s="206"/>
      <c r="D144" s="206"/>
      <c r="E144" s="206"/>
      <c r="F144" s="206"/>
      <c r="G144" s="206"/>
      <c r="H144" s="207"/>
      <c r="I144" s="119">
        <v>2026</v>
      </c>
      <c r="J144" s="106">
        <f t="shared" si="14"/>
        <v>12071.69</v>
      </c>
      <c r="K144" s="107"/>
      <c r="L144" s="106">
        <v>11468.11</v>
      </c>
      <c r="M144" s="106">
        <v>603.58000000000004</v>
      </c>
      <c r="N144" s="107"/>
      <c r="O144" s="198"/>
    </row>
    <row r="145" spans="1:257" s="120" customFormat="1" ht="120.75" customHeight="1" x14ac:dyDescent="0.35">
      <c r="A145" s="121" t="s">
        <v>188</v>
      </c>
      <c r="B145" s="122" t="s">
        <v>189</v>
      </c>
      <c r="C145" s="123">
        <v>35</v>
      </c>
      <c r="D145" s="123">
        <v>2026</v>
      </c>
      <c r="E145" s="124" t="s">
        <v>190</v>
      </c>
      <c r="F145" s="125" t="s">
        <v>191</v>
      </c>
      <c r="G145" s="126" t="s">
        <v>192</v>
      </c>
      <c r="H145" s="126" t="s">
        <v>193</v>
      </c>
      <c r="I145" s="127">
        <v>2026</v>
      </c>
      <c r="J145" s="128">
        <f t="shared" si="14"/>
        <v>32433.870000000003</v>
      </c>
      <c r="K145" s="129">
        <v>13995.4</v>
      </c>
      <c r="L145" s="128">
        <v>16168.43</v>
      </c>
      <c r="M145" s="128">
        <v>2270.04</v>
      </c>
      <c r="N145" s="129"/>
      <c r="O145" s="218"/>
      <c r="P145" s="130"/>
      <c r="Q145" s="130"/>
      <c r="R145" s="130"/>
      <c r="S145" s="130"/>
      <c r="T145" s="130"/>
      <c r="U145" s="131"/>
      <c r="V145" s="130"/>
      <c r="W145" s="130"/>
      <c r="X145" s="130"/>
      <c r="Y145" s="130"/>
      <c r="Z145" s="130"/>
      <c r="AA145" s="130"/>
      <c r="AB145" s="130"/>
      <c r="AC145" s="130"/>
      <c r="AD145" s="130"/>
      <c r="AE145" s="130"/>
      <c r="AF145" s="130"/>
      <c r="AG145" s="130"/>
      <c r="AH145" s="130"/>
      <c r="AI145" s="130"/>
      <c r="AJ145" s="130"/>
      <c r="AK145" s="130"/>
      <c r="AL145" s="130"/>
      <c r="AM145" s="130"/>
      <c r="AN145" s="130"/>
      <c r="AO145" s="130"/>
      <c r="AP145" s="130"/>
      <c r="AQ145" s="130"/>
      <c r="AR145" s="130"/>
      <c r="AS145" s="130"/>
      <c r="AT145" s="130"/>
      <c r="AU145" s="130"/>
      <c r="AV145" s="130"/>
      <c r="AW145" s="130"/>
      <c r="AX145" s="130"/>
      <c r="AY145" s="130"/>
      <c r="AZ145" s="130"/>
      <c r="BA145" s="130"/>
      <c r="BB145" s="130"/>
      <c r="BC145" s="130"/>
      <c r="BD145" s="130"/>
      <c r="BE145" s="130"/>
      <c r="BF145" s="130"/>
      <c r="BG145" s="130"/>
      <c r="BH145" s="130"/>
      <c r="BI145" s="130"/>
      <c r="BJ145" s="130"/>
      <c r="BK145" s="130"/>
      <c r="BL145" s="130"/>
      <c r="BM145" s="130"/>
      <c r="BN145" s="130"/>
      <c r="BO145" s="130"/>
      <c r="BP145" s="130"/>
      <c r="BQ145" s="130"/>
      <c r="BR145" s="130"/>
      <c r="BS145" s="130"/>
      <c r="BT145" s="130"/>
      <c r="BU145" s="130"/>
      <c r="BV145" s="130"/>
      <c r="BW145" s="130"/>
      <c r="BX145" s="130"/>
      <c r="BY145" s="130"/>
      <c r="BZ145" s="130"/>
      <c r="CA145" s="130"/>
      <c r="CB145" s="130"/>
      <c r="CC145" s="130"/>
      <c r="CD145" s="130"/>
      <c r="CE145" s="130"/>
      <c r="CF145" s="130"/>
      <c r="CG145" s="130"/>
      <c r="CH145" s="130"/>
      <c r="CI145" s="130"/>
      <c r="CJ145" s="130"/>
      <c r="CK145" s="130"/>
      <c r="CL145" s="130"/>
      <c r="CM145" s="130"/>
      <c r="CN145" s="130"/>
      <c r="CO145" s="130"/>
      <c r="CP145" s="130"/>
      <c r="CQ145" s="130"/>
      <c r="CR145" s="130"/>
      <c r="CS145" s="130"/>
      <c r="CT145" s="130"/>
      <c r="CU145" s="130"/>
      <c r="CV145" s="130"/>
      <c r="CW145" s="130"/>
      <c r="CX145" s="130"/>
      <c r="CY145" s="130"/>
      <c r="CZ145" s="130"/>
      <c r="DA145" s="130"/>
      <c r="DB145" s="130"/>
      <c r="DC145" s="130"/>
      <c r="DD145" s="130"/>
      <c r="DE145" s="130"/>
      <c r="DF145" s="130"/>
      <c r="DG145" s="130"/>
      <c r="DH145" s="130"/>
      <c r="DI145" s="130"/>
      <c r="DJ145" s="130"/>
      <c r="DK145" s="130"/>
      <c r="DL145" s="130"/>
      <c r="DM145" s="130"/>
      <c r="DN145" s="130"/>
      <c r="DO145" s="130"/>
      <c r="DP145" s="130"/>
      <c r="DQ145" s="130"/>
      <c r="DR145" s="130"/>
      <c r="DS145" s="130"/>
      <c r="DT145" s="130"/>
      <c r="DU145" s="130"/>
      <c r="DV145" s="130"/>
      <c r="DW145" s="130"/>
      <c r="DX145" s="130"/>
      <c r="DY145" s="130"/>
      <c r="DZ145" s="130"/>
      <c r="EA145" s="130"/>
      <c r="EB145" s="130"/>
      <c r="EC145" s="130"/>
      <c r="ED145" s="130"/>
      <c r="EE145" s="130"/>
      <c r="EF145" s="130"/>
      <c r="EG145" s="130"/>
      <c r="EH145" s="130"/>
      <c r="EI145" s="130"/>
      <c r="EJ145" s="130"/>
      <c r="EK145" s="130"/>
      <c r="EL145" s="130"/>
      <c r="EM145" s="130"/>
      <c r="EN145" s="130"/>
      <c r="EO145" s="130"/>
      <c r="EP145" s="130"/>
      <c r="EQ145" s="130"/>
      <c r="ER145" s="130"/>
      <c r="ES145" s="130"/>
      <c r="ET145" s="130"/>
      <c r="EU145" s="130"/>
      <c r="EV145" s="130"/>
      <c r="EW145" s="130"/>
      <c r="EX145" s="130"/>
      <c r="EY145" s="130"/>
      <c r="EZ145" s="130"/>
      <c r="FA145" s="130"/>
      <c r="FB145" s="130"/>
      <c r="FC145" s="130"/>
      <c r="FD145" s="130"/>
      <c r="FE145" s="130"/>
      <c r="FF145" s="130"/>
      <c r="FG145" s="130"/>
      <c r="FH145" s="130"/>
      <c r="FI145" s="130"/>
      <c r="FJ145" s="130"/>
      <c r="FK145" s="130"/>
      <c r="FL145" s="130"/>
      <c r="FM145" s="130"/>
      <c r="FN145" s="130"/>
      <c r="FO145" s="130"/>
      <c r="FP145" s="130"/>
      <c r="FQ145" s="130"/>
      <c r="FR145" s="130"/>
      <c r="FS145" s="130"/>
      <c r="FT145" s="130"/>
      <c r="FU145" s="130"/>
      <c r="FV145" s="130"/>
      <c r="FW145" s="130"/>
      <c r="FX145" s="130"/>
      <c r="FY145" s="130"/>
      <c r="FZ145" s="130"/>
      <c r="GA145" s="130"/>
      <c r="GB145" s="130"/>
      <c r="GC145" s="130"/>
      <c r="GD145" s="130"/>
      <c r="GE145" s="130"/>
      <c r="GF145" s="130"/>
      <c r="GG145" s="130"/>
      <c r="GH145" s="130"/>
      <c r="GI145" s="130"/>
      <c r="GJ145" s="130"/>
      <c r="GK145" s="130"/>
      <c r="GL145" s="130"/>
      <c r="GM145" s="130"/>
      <c r="GN145" s="130"/>
      <c r="GO145" s="130"/>
      <c r="GP145" s="130"/>
      <c r="GQ145" s="130"/>
      <c r="GR145" s="130"/>
      <c r="GS145" s="130"/>
      <c r="GT145" s="130"/>
      <c r="GU145" s="130"/>
      <c r="GV145" s="130"/>
      <c r="GW145" s="130"/>
      <c r="GX145" s="130"/>
      <c r="GY145" s="130"/>
      <c r="GZ145" s="130"/>
      <c r="HA145" s="130"/>
      <c r="HB145" s="130"/>
      <c r="HC145" s="130"/>
      <c r="HD145" s="130"/>
      <c r="HE145" s="130"/>
      <c r="HF145" s="130"/>
      <c r="HG145" s="130"/>
      <c r="HH145" s="130"/>
      <c r="HI145" s="130"/>
      <c r="HJ145" s="130"/>
      <c r="HK145" s="130"/>
      <c r="HL145" s="130"/>
      <c r="HM145" s="130"/>
      <c r="HN145" s="130"/>
      <c r="HO145" s="130"/>
      <c r="HP145" s="130"/>
      <c r="HQ145" s="130"/>
      <c r="HR145" s="130"/>
      <c r="HS145" s="130"/>
      <c r="HT145" s="130"/>
      <c r="HU145" s="130"/>
      <c r="HV145" s="130"/>
      <c r="HW145" s="130"/>
      <c r="HX145" s="130"/>
      <c r="HY145" s="130"/>
      <c r="HZ145" s="130"/>
      <c r="IA145" s="130"/>
      <c r="IB145" s="130"/>
      <c r="IC145" s="130"/>
      <c r="ID145" s="130"/>
      <c r="IE145" s="130"/>
      <c r="IF145" s="130"/>
      <c r="IG145" s="130"/>
      <c r="IH145" s="130"/>
      <c r="II145" s="130"/>
      <c r="IJ145" s="130"/>
      <c r="IK145" s="130"/>
      <c r="IL145" s="130"/>
      <c r="IM145" s="130"/>
      <c r="IN145" s="130"/>
      <c r="IO145" s="130"/>
      <c r="IP145" s="130"/>
      <c r="IQ145" s="130"/>
      <c r="IR145" s="130"/>
      <c r="IS145" s="130"/>
      <c r="IT145" s="130"/>
      <c r="IU145" s="130"/>
      <c r="IV145" s="130"/>
      <c r="IW145" s="130"/>
    </row>
    <row r="146" spans="1:257" s="120" customFormat="1" ht="27" customHeight="1" x14ac:dyDescent="0.25">
      <c r="A146" s="132" t="s">
        <v>194</v>
      </c>
      <c r="B146" s="221" t="s">
        <v>43</v>
      </c>
      <c r="C146" s="222"/>
      <c r="D146" s="222"/>
      <c r="E146" s="222"/>
      <c r="F146" s="222"/>
      <c r="G146" s="222"/>
      <c r="H146" s="223"/>
      <c r="I146" s="127"/>
      <c r="J146" s="135"/>
      <c r="K146" s="135"/>
      <c r="L146" s="135"/>
      <c r="M146" s="135"/>
      <c r="N146" s="129"/>
      <c r="O146" s="219"/>
      <c r="P146" s="130"/>
      <c r="Q146" s="130"/>
      <c r="R146" s="130"/>
      <c r="S146" s="130"/>
      <c r="T146" s="130"/>
      <c r="U146" s="130"/>
      <c r="V146" s="130"/>
      <c r="W146" s="130"/>
      <c r="X146" s="130"/>
      <c r="Y146" s="130"/>
      <c r="Z146" s="130"/>
      <c r="AA146" s="130"/>
      <c r="AB146" s="130"/>
      <c r="AC146" s="130"/>
      <c r="AD146" s="130"/>
      <c r="AE146" s="130"/>
      <c r="AF146" s="130"/>
      <c r="AG146" s="130"/>
      <c r="AH146" s="130"/>
      <c r="AI146" s="130"/>
      <c r="AJ146" s="130"/>
      <c r="AK146" s="130"/>
      <c r="AL146" s="130"/>
      <c r="AM146" s="130"/>
      <c r="AN146" s="130"/>
      <c r="AO146" s="130"/>
      <c r="AP146" s="130"/>
      <c r="AQ146" s="130"/>
      <c r="AR146" s="130"/>
      <c r="AS146" s="130"/>
      <c r="AT146" s="130"/>
      <c r="AU146" s="130"/>
      <c r="AV146" s="130"/>
      <c r="AW146" s="130"/>
      <c r="AX146" s="130"/>
      <c r="AY146" s="130"/>
      <c r="AZ146" s="130"/>
      <c r="BA146" s="130"/>
      <c r="BB146" s="130"/>
      <c r="BC146" s="130"/>
      <c r="BD146" s="130"/>
      <c r="BE146" s="130"/>
      <c r="BF146" s="130"/>
      <c r="BG146" s="130"/>
      <c r="BH146" s="130"/>
      <c r="BI146" s="130"/>
      <c r="BJ146" s="130"/>
      <c r="BK146" s="130"/>
      <c r="BL146" s="130"/>
      <c r="BM146" s="130"/>
      <c r="BN146" s="130"/>
      <c r="BO146" s="130"/>
      <c r="BP146" s="130"/>
      <c r="BQ146" s="130"/>
      <c r="BR146" s="130"/>
      <c r="BS146" s="130"/>
      <c r="BT146" s="130"/>
      <c r="BU146" s="130"/>
      <c r="BV146" s="130"/>
      <c r="BW146" s="130"/>
      <c r="BX146" s="130"/>
      <c r="BY146" s="130"/>
      <c r="BZ146" s="130"/>
      <c r="CA146" s="130"/>
      <c r="CB146" s="130"/>
      <c r="CC146" s="130"/>
      <c r="CD146" s="130"/>
      <c r="CE146" s="130"/>
      <c r="CF146" s="130"/>
      <c r="CG146" s="130"/>
      <c r="CH146" s="130"/>
      <c r="CI146" s="130"/>
      <c r="CJ146" s="130"/>
      <c r="CK146" s="130"/>
      <c r="CL146" s="130"/>
      <c r="CM146" s="130"/>
      <c r="CN146" s="130"/>
      <c r="CO146" s="130"/>
      <c r="CP146" s="130"/>
      <c r="CQ146" s="130"/>
      <c r="CR146" s="130"/>
      <c r="CS146" s="130"/>
      <c r="CT146" s="130"/>
      <c r="CU146" s="130"/>
      <c r="CV146" s="130"/>
      <c r="CW146" s="130"/>
      <c r="CX146" s="130"/>
      <c r="CY146" s="130"/>
      <c r="CZ146" s="130"/>
      <c r="DA146" s="130"/>
      <c r="DB146" s="130"/>
      <c r="DC146" s="130"/>
      <c r="DD146" s="130"/>
      <c r="DE146" s="130"/>
      <c r="DF146" s="130"/>
      <c r="DG146" s="130"/>
      <c r="DH146" s="130"/>
      <c r="DI146" s="130"/>
      <c r="DJ146" s="130"/>
      <c r="DK146" s="130"/>
      <c r="DL146" s="130"/>
      <c r="DM146" s="130"/>
      <c r="DN146" s="130"/>
      <c r="DO146" s="130"/>
      <c r="DP146" s="130"/>
      <c r="DQ146" s="130"/>
      <c r="DR146" s="130"/>
      <c r="DS146" s="130"/>
      <c r="DT146" s="130"/>
      <c r="DU146" s="130"/>
      <c r="DV146" s="130"/>
      <c r="DW146" s="130"/>
      <c r="DX146" s="130"/>
      <c r="DY146" s="130"/>
      <c r="DZ146" s="130"/>
      <c r="EA146" s="130"/>
      <c r="EB146" s="130"/>
      <c r="EC146" s="130"/>
      <c r="ED146" s="130"/>
      <c r="EE146" s="130"/>
      <c r="EF146" s="130"/>
      <c r="EG146" s="130"/>
      <c r="EH146" s="130"/>
      <c r="EI146" s="130"/>
      <c r="EJ146" s="130"/>
      <c r="EK146" s="130"/>
      <c r="EL146" s="130"/>
      <c r="EM146" s="130"/>
      <c r="EN146" s="130"/>
      <c r="EO146" s="130"/>
      <c r="EP146" s="130"/>
      <c r="EQ146" s="130"/>
      <c r="ER146" s="130"/>
      <c r="ES146" s="130"/>
      <c r="ET146" s="130"/>
      <c r="EU146" s="130"/>
      <c r="EV146" s="130"/>
      <c r="EW146" s="130"/>
      <c r="EX146" s="130"/>
      <c r="EY146" s="130"/>
      <c r="EZ146" s="130"/>
      <c r="FA146" s="130"/>
      <c r="FB146" s="130"/>
      <c r="FC146" s="130"/>
      <c r="FD146" s="130"/>
      <c r="FE146" s="130"/>
      <c r="FF146" s="130"/>
      <c r="FG146" s="130"/>
      <c r="FH146" s="130"/>
      <c r="FI146" s="130"/>
      <c r="FJ146" s="130"/>
      <c r="FK146" s="130"/>
      <c r="FL146" s="130"/>
      <c r="FM146" s="130"/>
      <c r="FN146" s="130"/>
      <c r="FO146" s="130"/>
      <c r="FP146" s="130"/>
      <c r="FQ146" s="130"/>
      <c r="FR146" s="130"/>
      <c r="FS146" s="130"/>
      <c r="FT146" s="130"/>
      <c r="FU146" s="130"/>
      <c r="FV146" s="130"/>
      <c r="FW146" s="130"/>
      <c r="FX146" s="130"/>
      <c r="FY146" s="130"/>
      <c r="FZ146" s="130"/>
      <c r="GA146" s="130"/>
      <c r="GB146" s="130"/>
      <c r="GC146" s="130"/>
      <c r="GD146" s="130"/>
      <c r="GE146" s="130"/>
      <c r="GF146" s="130"/>
      <c r="GG146" s="130"/>
      <c r="GH146" s="130"/>
      <c r="GI146" s="130"/>
      <c r="GJ146" s="130"/>
      <c r="GK146" s="130"/>
      <c r="GL146" s="130"/>
      <c r="GM146" s="130"/>
      <c r="GN146" s="130"/>
      <c r="GO146" s="130"/>
      <c r="GP146" s="130"/>
      <c r="GQ146" s="130"/>
      <c r="GR146" s="130"/>
      <c r="GS146" s="130"/>
      <c r="GT146" s="130"/>
      <c r="GU146" s="130"/>
      <c r="GV146" s="130"/>
      <c r="GW146" s="130"/>
      <c r="GX146" s="130"/>
      <c r="GY146" s="130"/>
      <c r="GZ146" s="130"/>
      <c r="HA146" s="130"/>
      <c r="HB146" s="130"/>
      <c r="HC146" s="130"/>
      <c r="HD146" s="130"/>
      <c r="HE146" s="130"/>
      <c r="HF146" s="130"/>
      <c r="HG146" s="130"/>
      <c r="HH146" s="130"/>
      <c r="HI146" s="130"/>
      <c r="HJ146" s="130"/>
      <c r="HK146" s="130"/>
      <c r="HL146" s="130"/>
      <c r="HM146" s="130"/>
      <c r="HN146" s="130"/>
      <c r="HO146" s="130"/>
      <c r="HP146" s="130"/>
      <c r="HQ146" s="130"/>
      <c r="HR146" s="130"/>
      <c r="HS146" s="130"/>
      <c r="HT146" s="130"/>
      <c r="HU146" s="130"/>
      <c r="HV146" s="130"/>
      <c r="HW146" s="130"/>
      <c r="HX146" s="130"/>
      <c r="HY146" s="130"/>
      <c r="HZ146" s="130"/>
      <c r="IA146" s="130"/>
      <c r="IB146" s="130"/>
      <c r="IC146" s="130"/>
      <c r="ID146" s="130"/>
      <c r="IE146" s="130"/>
      <c r="IF146" s="130"/>
      <c r="IG146" s="130"/>
      <c r="IH146" s="130"/>
      <c r="II146" s="130"/>
      <c r="IJ146" s="130"/>
      <c r="IK146" s="130"/>
      <c r="IL146" s="130"/>
      <c r="IM146" s="130"/>
      <c r="IN146" s="130"/>
      <c r="IO146" s="130"/>
      <c r="IP146" s="130"/>
      <c r="IQ146" s="130"/>
      <c r="IR146" s="130"/>
      <c r="IS146" s="130"/>
      <c r="IT146" s="130"/>
      <c r="IU146" s="130"/>
      <c r="IV146" s="130"/>
      <c r="IW146" s="130"/>
    </row>
    <row r="147" spans="1:257" s="120" customFormat="1" ht="24" customHeight="1" x14ac:dyDescent="0.25">
      <c r="A147" s="132" t="s">
        <v>195</v>
      </c>
      <c r="B147" s="221" t="s">
        <v>45</v>
      </c>
      <c r="C147" s="222"/>
      <c r="D147" s="222"/>
      <c r="E147" s="222"/>
      <c r="F147" s="222"/>
      <c r="G147" s="222"/>
      <c r="H147" s="223"/>
      <c r="I147" s="127">
        <v>2026</v>
      </c>
      <c r="J147" s="128">
        <f t="shared" si="14"/>
        <v>32433.870000000003</v>
      </c>
      <c r="K147" s="129">
        <v>13995.4</v>
      </c>
      <c r="L147" s="128">
        <v>16168.43</v>
      </c>
      <c r="M147" s="128">
        <v>2270.04</v>
      </c>
      <c r="N147" s="129"/>
      <c r="O147" s="220"/>
      <c r="P147" s="130"/>
      <c r="Q147" s="130"/>
      <c r="R147" s="130"/>
      <c r="S147" s="130"/>
      <c r="T147" s="130"/>
      <c r="U147" s="130"/>
      <c r="V147" s="130"/>
      <c r="W147" s="130"/>
      <c r="X147" s="130"/>
      <c r="Y147" s="130"/>
      <c r="Z147" s="130"/>
      <c r="AA147" s="130"/>
      <c r="AB147" s="130"/>
      <c r="AC147" s="130"/>
      <c r="AD147" s="130"/>
      <c r="AE147" s="130"/>
      <c r="AF147" s="130"/>
      <c r="AG147" s="130"/>
      <c r="AH147" s="130"/>
      <c r="AI147" s="130"/>
      <c r="AJ147" s="130"/>
      <c r="AK147" s="130"/>
      <c r="AL147" s="130"/>
      <c r="AM147" s="130"/>
      <c r="AN147" s="130"/>
      <c r="AO147" s="130"/>
      <c r="AP147" s="130"/>
      <c r="AQ147" s="130"/>
      <c r="AR147" s="130"/>
      <c r="AS147" s="130"/>
      <c r="AT147" s="130"/>
      <c r="AU147" s="130"/>
      <c r="AV147" s="130"/>
      <c r="AW147" s="130"/>
      <c r="AX147" s="130"/>
      <c r="AY147" s="130"/>
      <c r="AZ147" s="130"/>
      <c r="BA147" s="130"/>
      <c r="BB147" s="130"/>
      <c r="BC147" s="130"/>
      <c r="BD147" s="130"/>
      <c r="BE147" s="130"/>
      <c r="BF147" s="130"/>
      <c r="BG147" s="130"/>
      <c r="BH147" s="130"/>
      <c r="BI147" s="130"/>
      <c r="BJ147" s="130"/>
      <c r="BK147" s="130"/>
      <c r="BL147" s="130"/>
      <c r="BM147" s="130"/>
      <c r="BN147" s="130"/>
      <c r="BO147" s="130"/>
      <c r="BP147" s="130"/>
      <c r="BQ147" s="130"/>
      <c r="BR147" s="130"/>
      <c r="BS147" s="130"/>
      <c r="BT147" s="130"/>
      <c r="BU147" s="130"/>
      <c r="BV147" s="130"/>
      <c r="BW147" s="130"/>
      <c r="BX147" s="130"/>
      <c r="BY147" s="130"/>
      <c r="BZ147" s="130"/>
      <c r="CA147" s="130"/>
      <c r="CB147" s="130"/>
      <c r="CC147" s="130"/>
      <c r="CD147" s="130"/>
      <c r="CE147" s="130"/>
      <c r="CF147" s="130"/>
      <c r="CG147" s="130"/>
      <c r="CH147" s="130"/>
      <c r="CI147" s="130"/>
      <c r="CJ147" s="130"/>
      <c r="CK147" s="130"/>
      <c r="CL147" s="130"/>
      <c r="CM147" s="130"/>
      <c r="CN147" s="130"/>
      <c r="CO147" s="130"/>
      <c r="CP147" s="130"/>
      <c r="CQ147" s="130"/>
      <c r="CR147" s="130"/>
      <c r="CS147" s="130"/>
      <c r="CT147" s="130"/>
      <c r="CU147" s="130"/>
      <c r="CV147" s="130"/>
      <c r="CW147" s="130"/>
      <c r="CX147" s="130"/>
      <c r="CY147" s="130"/>
      <c r="CZ147" s="130"/>
      <c r="DA147" s="130"/>
      <c r="DB147" s="130"/>
      <c r="DC147" s="130"/>
      <c r="DD147" s="130"/>
      <c r="DE147" s="130"/>
      <c r="DF147" s="130"/>
      <c r="DG147" s="130"/>
      <c r="DH147" s="130"/>
      <c r="DI147" s="130"/>
      <c r="DJ147" s="130"/>
      <c r="DK147" s="130"/>
      <c r="DL147" s="130"/>
      <c r="DM147" s="130"/>
      <c r="DN147" s="130"/>
      <c r="DO147" s="130"/>
      <c r="DP147" s="130"/>
      <c r="DQ147" s="130"/>
      <c r="DR147" s="130"/>
      <c r="DS147" s="130"/>
      <c r="DT147" s="130"/>
      <c r="DU147" s="130"/>
      <c r="DV147" s="130"/>
      <c r="DW147" s="130"/>
      <c r="DX147" s="130"/>
      <c r="DY147" s="130"/>
      <c r="DZ147" s="130"/>
      <c r="EA147" s="130"/>
      <c r="EB147" s="130"/>
      <c r="EC147" s="130"/>
      <c r="ED147" s="130"/>
      <c r="EE147" s="130"/>
      <c r="EF147" s="130"/>
      <c r="EG147" s="130"/>
      <c r="EH147" s="130"/>
      <c r="EI147" s="130"/>
      <c r="EJ147" s="130"/>
      <c r="EK147" s="130"/>
      <c r="EL147" s="130"/>
      <c r="EM147" s="130"/>
      <c r="EN147" s="130"/>
      <c r="EO147" s="130"/>
      <c r="EP147" s="130"/>
      <c r="EQ147" s="130"/>
      <c r="ER147" s="130"/>
      <c r="ES147" s="130"/>
      <c r="ET147" s="130"/>
      <c r="EU147" s="130"/>
      <c r="EV147" s="130"/>
      <c r="EW147" s="130"/>
      <c r="EX147" s="130"/>
      <c r="EY147" s="130"/>
      <c r="EZ147" s="130"/>
      <c r="FA147" s="130"/>
      <c r="FB147" s="130"/>
      <c r="FC147" s="130"/>
      <c r="FD147" s="130"/>
      <c r="FE147" s="130"/>
      <c r="FF147" s="130"/>
      <c r="FG147" s="130"/>
      <c r="FH147" s="130"/>
      <c r="FI147" s="130"/>
      <c r="FJ147" s="130"/>
      <c r="FK147" s="130"/>
      <c r="FL147" s="130"/>
      <c r="FM147" s="130"/>
      <c r="FN147" s="130"/>
      <c r="FO147" s="130"/>
      <c r="FP147" s="130"/>
      <c r="FQ147" s="130"/>
      <c r="FR147" s="130"/>
      <c r="FS147" s="130"/>
      <c r="FT147" s="130"/>
      <c r="FU147" s="130"/>
      <c r="FV147" s="130"/>
      <c r="FW147" s="130"/>
      <c r="FX147" s="130"/>
      <c r="FY147" s="130"/>
      <c r="FZ147" s="130"/>
      <c r="GA147" s="130"/>
      <c r="GB147" s="130"/>
      <c r="GC147" s="130"/>
      <c r="GD147" s="130"/>
      <c r="GE147" s="130"/>
      <c r="GF147" s="130"/>
      <c r="GG147" s="130"/>
      <c r="GH147" s="130"/>
      <c r="GI147" s="130"/>
      <c r="GJ147" s="130"/>
      <c r="GK147" s="130"/>
      <c r="GL147" s="130"/>
      <c r="GM147" s="130"/>
      <c r="GN147" s="130"/>
      <c r="GO147" s="130"/>
      <c r="GP147" s="130"/>
      <c r="GQ147" s="130"/>
      <c r="GR147" s="130"/>
      <c r="GS147" s="130"/>
      <c r="GT147" s="130"/>
      <c r="GU147" s="130"/>
      <c r="GV147" s="130"/>
      <c r="GW147" s="130"/>
      <c r="GX147" s="130"/>
      <c r="GY147" s="130"/>
      <c r="GZ147" s="130"/>
      <c r="HA147" s="130"/>
      <c r="HB147" s="130"/>
      <c r="HC147" s="130"/>
      <c r="HD147" s="130"/>
      <c r="HE147" s="130"/>
      <c r="HF147" s="130"/>
      <c r="HG147" s="130"/>
      <c r="HH147" s="130"/>
      <c r="HI147" s="130"/>
      <c r="HJ147" s="130"/>
      <c r="HK147" s="130"/>
      <c r="HL147" s="130"/>
      <c r="HM147" s="130"/>
      <c r="HN147" s="130"/>
      <c r="HO147" s="130"/>
      <c r="HP147" s="130"/>
      <c r="HQ147" s="130"/>
      <c r="HR147" s="130"/>
      <c r="HS147" s="130"/>
      <c r="HT147" s="130"/>
      <c r="HU147" s="130"/>
      <c r="HV147" s="130"/>
      <c r="HW147" s="130"/>
      <c r="HX147" s="130"/>
      <c r="HY147" s="130"/>
      <c r="HZ147" s="130"/>
      <c r="IA147" s="130"/>
      <c r="IB147" s="130"/>
      <c r="IC147" s="130"/>
      <c r="ID147" s="130"/>
      <c r="IE147" s="130"/>
      <c r="IF147" s="130"/>
      <c r="IG147" s="130"/>
      <c r="IH147" s="130"/>
      <c r="II147" s="130"/>
      <c r="IJ147" s="130"/>
      <c r="IK147" s="130"/>
      <c r="IL147" s="130"/>
      <c r="IM147" s="130"/>
      <c r="IN147" s="130"/>
      <c r="IO147" s="130"/>
      <c r="IP147" s="130"/>
      <c r="IQ147" s="130"/>
      <c r="IR147" s="130"/>
      <c r="IS147" s="130"/>
      <c r="IT147" s="130"/>
      <c r="IU147" s="130"/>
      <c r="IV147" s="130"/>
      <c r="IW147" s="130"/>
    </row>
    <row r="148" spans="1:257" ht="129.75" customHeight="1" x14ac:dyDescent="0.35">
      <c r="A148" s="60" t="s">
        <v>196</v>
      </c>
      <c r="B148" s="61" t="s">
        <v>197</v>
      </c>
      <c r="C148" s="16">
        <v>108</v>
      </c>
      <c r="D148" s="16">
        <v>2026</v>
      </c>
      <c r="E148" s="58" t="s">
        <v>198</v>
      </c>
      <c r="F148" s="18" t="s">
        <v>199</v>
      </c>
      <c r="G148" s="104" t="s">
        <v>200</v>
      </c>
      <c r="H148" s="104" t="s">
        <v>201</v>
      </c>
      <c r="I148" s="119">
        <v>2026</v>
      </c>
      <c r="J148" s="106">
        <f t="shared" si="14"/>
        <v>12315.908100000001</v>
      </c>
      <c r="K148" s="107"/>
      <c r="L148" s="106">
        <v>11207.4781</v>
      </c>
      <c r="M148" s="106">
        <v>1108.43</v>
      </c>
      <c r="N148" s="107"/>
      <c r="O148" s="195"/>
      <c r="U148" s="117"/>
    </row>
    <row r="149" spans="1:257" ht="27" customHeight="1" x14ac:dyDescent="0.25">
      <c r="A149" s="103" t="s">
        <v>202</v>
      </c>
      <c r="B149" s="205" t="s">
        <v>43</v>
      </c>
      <c r="C149" s="206"/>
      <c r="D149" s="206"/>
      <c r="E149" s="206"/>
      <c r="F149" s="206"/>
      <c r="G149" s="206"/>
      <c r="H149" s="207"/>
      <c r="I149" s="119"/>
      <c r="J149" s="107"/>
      <c r="K149" s="107"/>
      <c r="L149" s="107"/>
      <c r="M149" s="107"/>
      <c r="N149" s="107"/>
      <c r="O149" s="196"/>
    </row>
    <row r="150" spans="1:257" ht="24" customHeight="1" x14ac:dyDescent="0.25">
      <c r="A150" s="103" t="s">
        <v>203</v>
      </c>
      <c r="B150" s="205" t="s">
        <v>45</v>
      </c>
      <c r="C150" s="206"/>
      <c r="D150" s="206"/>
      <c r="E150" s="206"/>
      <c r="F150" s="206"/>
      <c r="G150" s="206"/>
      <c r="H150" s="207"/>
      <c r="I150" s="119">
        <v>2026</v>
      </c>
      <c r="J150" s="106">
        <f t="shared" si="14"/>
        <v>12315.908100000001</v>
      </c>
      <c r="K150" s="107"/>
      <c r="L150" s="106">
        <v>11207.4781</v>
      </c>
      <c r="M150" s="106">
        <v>1108.43</v>
      </c>
      <c r="N150" s="107"/>
      <c r="O150" s="198"/>
    </row>
    <row r="151" spans="1:257" s="120" customFormat="1" ht="145.5" customHeight="1" x14ac:dyDescent="0.35">
      <c r="A151" s="121" t="s">
        <v>204</v>
      </c>
      <c r="B151" s="122" t="s">
        <v>205</v>
      </c>
      <c r="C151" s="123">
        <v>28</v>
      </c>
      <c r="D151" s="123">
        <v>2026</v>
      </c>
      <c r="E151" s="124" t="s">
        <v>206</v>
      </c>
      <c r="F151" s="125" t="s">
        <v>207</v>
      </c>
      <c r="G151" s="126" t="s">
        <v>78</v>
      </c>
      <c r="H151" s="126" t="s">
        <v>208</v>
      </c>
      <c r="I151" s="127">
        <v>2026</v>
      </c>
      <c r="J151" s="128">
        <f t="shared" si="14"/>
        <v>1079.5</v>
      </c>
      <c r="K151" s="129"/>
      <c r="L151" s="128">
        <v>971.55</v>
      </c>
      <c r="M151" s="128">
        <v>107.95</v>
      </c>
      <c r="N151" s="129"/>
      <c r="O151" s="218"/>
      <c r="P151" s="130"/>
      <c r="Q151" s="130"/>
      <c r="R151" s="130"/>
      <c r="S151" s="130"/>
      <c r="T151" s="130"/>
      <c r="U151" s="131"/>
    </row>
    <row r="152" spans="1:257" s="120" customFormat="1" ht="27" customHeight="1" x14ac:dyDescent="0.25">
      <c r="A152" s="132" t="s">
        <v>209</v>
      </c>
      <c r="B152" s="221" t="s">
        <v>43</v>
      </c>
      <c r="C152" s="222"/>
      <c r="D152" s="222"/>
      <c r="E152" s="222"/>
      <c r="F152" s="222"/>
      <c r="G152" s="222"/>
      <c r="H152" s="223"/>
      <c r="I152" s="127"/>
      <c r="J152" s="129"/>
      <c r="K152" s="129"/>
      <c r="L152" s="129"/>
      <c r="M152" s="129"/>
      <c r="N152" s="129"/>
      <c r="O152" s="219"/>
      <c r="P152" s="130"/>
      <c r="Q152" s="130"/>
      <c r="R152" s="130"/>
      <c r="S152" s="130"/>
      <c r="T152" s="130"/>
    </row>
    <row r="153" spans="1:257" s="120" customFormat="1" ht="24" customHeight="1" x14ac:dyDescent="0.25">
      <c r="A153" s="132" t="s">
        <v>210</v>
      </c>
      <c r="B153" s="221" t="s">
        <v>45</v>
      </c>
      <c r="C153" s="222"/>
      <c r="D153" s="222"/>
      <c r="E153" s="222"/>
      <c r="F153" s="222"/>
      <c r="G153" s="222"/>
      <c r="H153" s="223"/>
      <c r="I153" s="127">
        <v>2026</v>
      </c>
      <c r="J153" s="128">
        <f t="shared" si="14"/>
        <v>1079.5</v>
      </c>
      <c r="K153" s="129"/>
      <c r="L153" s="128">
        <v>971.55</v>
      </c>
      <c r="M153" s="128">
        <v>107.95</v>
      </c>
      <c r="N153" s="129"/>
      <c r="O153" s="220"/>
      <c r="P153" s="130"/>
      <c r="Q153" s="130"/>
      <c r="R153" s="130"/>
      <c r="S153" s="130"/>
      <c r="T153" s="130"/>
    </row>
    <row r="154" spans="1:257" ht="108" customHeight="1" x14ac:dyDescent="0.35">
      <c r="A154" s="60" t="s">
        <v>211</v>
      </c>
      <c r="B154" s="61" t="s">
        <v>212</v>
      </c>
      <c r="C154" s="16">
        <v>32</v>
      </c>
      <c r="D154" s="16">
        <v>2026</v>
      </c>
      <c r="E154" s="58" t="s">
        <v>213</v>
      </c>
      <c r="F154" s="18" t="s">
        <v>214</v>
      </c>
      <c r="G154" s="104" t="s">
        <v>215</v>
      </c>
      <c r="H154" s="104" t="s">
        <v>216</v>
      </c>
      <c r="I154" s="119">
        <v>2026</v>
      </c>
      <c r="J154" s="106">
        <f t="shared" si="14"/>
        <v>12107.2703</v>
      </c>
      <c r="K154" s="107"/>
      <c r="L154" s="106">
        <v>10775.470300000001</v>
      </c>
      <c r="M154" s="106">
        <v>1331.8</v>
      </c>
      <c r="N154" s="107"/>
      <c r="O154" s="195"/>
      <c r="U154" s="117"/>
    </row>
    <row r="155" spans="1:257" ht="27" customHeight="1" x14ac:dyDescent="0.25">
      <c r="A155" s="103" t="s">
        <v>217</v>
      </c>
      <c r="B155" s="205" t="s">
        <v>43</v>
      </c>
      <c r="C155" s="206"/>
      <c r="D155" s="206"/>
      <c r="E155" s="206"/>
      <c r="F155" s="206"/>
      <c r="G155" s="206"/>
      <c r="H155" s="207"/>
      <c r="I155" s="119"/>
      <c r="J155" s="107"/>
      <c r="K155" s="107"/>
      <c r="L155" s="107"/>
      <c r="M155" s="107"/>
      <c r="N155" s="107"/>
      <c r="O155" s="196"/>
    </row>
    <row r="156" spans="1:257" ht="24" customHeight="1" x14ac:dyDescent="0.25">
      <c r="A156" s="103" t="s">
        <v>218</v>
      </c>
      <c r="B156" s="205" t="s">
        <v>45</v>
      </c>
      <c r="C156" s="206"/>
      <c r="D156" s="206"/>
      <c r="E156" s="206"/>
      <c r="F156" s="206"/>
      <c r="G156" s="206"/>
      <c r="H156" s="207"/>
      <c r="I156" s="119">
        <v>2026</v>
      </c>
      <c r="J156" s="106">
        <f t="shared" si="14"/>
        <v>12107.2703</v>
      </c>
      <c r="K156" s="107"/>
      <c r="L156" s="106">
        <v>10775.470300000001</v>
      </c>
      <c r="M156" s="106">
        <v>1331.8</v>
      </c>
      <c r="N156" s="107"/>
      <c r="O156" s="198"/>
    </row>
    <row r="157" spans="1:257" s="120" customFormat="1" ht="138.75" customHeight="1" x14ac:dyDescent="0.35">
      <c r="A157" s="224" t="s">
        <v>219</v>
      </c>
      <c r="B157" s="225" t="s">
        <v>220</v>
      </c>
      <c r="C157" s="226">
        <v>50</v>
      </c>
      <c r="D157" s="226" t="s">
        <v>105</v>
      </c>
      <c r="E157" s="225" t="s">
        <v>221</v>
      </c>
      <c r="F157" s="226" t="s">
        <v>222</v>
      </c>
      <c r="G157" s="227" t="s">
        <v>223</v>
      </c>
      <c r="H157" s="227" t="s">
        <v>224</v>
      </c>
      <c r="I157" s="127">
        <v>2026</v>
      </c>
      <c r="J157" s="128">
        <f t="shared" si="14"/>
        <v>105486.76000000001</v>
      </c>
      <c r="K157" s="129"/>
      <c r="L157" s="128">
        <v>94938.08</v>
      </c>
      <c r="M157" s="128">
        <v>10548.68</v>
      </c>
      <c r="N157" s="129"/>
      <c r="O157" s="218"/>
      <c r="P157" s="130"/>
      <c r="Q157" s="130"/>
      <c r="R157" s="130"/>
      <c r="S157" s="130"/>
      <c r="T157" s="130"/>
      <c r="U157" s="131"/>
    </row>
    <row r="158" spans="1:257" s="120" customFormat="1" ht="31.5" customHeight="1" x14ac:dyDescent="0.35">
      <c r="A158" s="224"/>
      <c r="B158" s="225"/>
      <c r="C158" s="226"/>
      <c r="D158" s="226"/>
      <c r="E158" s="225"/>
      <c r="F158" s="226"/>
      <c r="G158" s="227"/>
      <c r="H158" s="227"/>
      <c r="I158" s="127">
        <v>2027</v>
      </c>
      <c r="J158" s="128">
        <f t="shared" si="14"/>
        <v>36441.945999999996</v>
      </c>
      <c r="K158" s="129"/>
      <c r="L158" s="128">
        <v>32797.745999999999</v>
      </c>
      <c r="M158" s="128">
        <v>3644.2</v>
      </c>
      <c r="N158" s="129"/>
      <c r="O158" s="219"/>
      <c r="P158" s="130"/>
      <c r="Q158" s="130"/>
      <c r="R158" s="130"/>
      <c r="S158" s="130"/>
      <c r="T158" s="130"/>
      <c r="U158" s="131"/>
    </row>
    <row r="159" spans="1:257" s="120" customFormat="1" ht="27" customHeight="1" x14ac:dyDescent="0.25">
      <c r="A159" s="132" t="s">
        <v>225</v>
      </c>
      <c r="B159" s="221" t="s">
        <v>43</v>
      </c>
      <c r="C159" s="222"/>
      <c r="D159" s="222"/>
      <c r="E159" s="222"/>
      <c r="F159" s="222"/>
      <c r="G159" s="222"/>
      <c r="H159" s="223"/>
      <c r="I159" s="127"/>
      <c r="J159" s="129"/>
      <c r="K159" s="129"/>
      <c r="L159" s="129"/>
      <c r="M159" s="129"/>
      <c r="N159" s="129"/>
      <c r="O159" s="219"/>
      <c r="P159" s="130"/>
      <c r="Q159" s="130"/>
      <c r="R159" s="130"/>
      <c r="S159" s="130"/>
      <c r="T159" s="130"/>
    </row>
    <row r="160" spans="1:257" s="120" customFormat="1" ht="24" customHeight="1" x14ac:dyDescent="0.25">
      <c r="A160" s="228" t="s">
        <v>226</v>
      </c>
      <c r="B160" s="192" t="s">
        <v>45</v>
      </c>
      <c r="C160" s="193"/>
      <c r="D160" s="193"/>
      <c r="E160" s="193"/>
      <c r="F160" s="193"/>
      <c r="G160" s="193"/>
      <c r="H160" s="194"/>
      <c r="I160" s="127">
        <v>2026</v>
      </c>
      <c r="J160" s="128">
        <f t="shared" si="14"/>
        <v>105486.76000000001</v>
      </c>
      <c r="K160" s="129"/>
      <c r="L160" s="128">
        <v>94938.08</v>
      </c>
      <c r="M160" s="128">
        <v>10548.68</v>
      </c>
      <c r="N160" s="129"/>
      <c r="O160" s="220"/>
      <c r="P160" s="130"/>
      <c r="Q160" s="130"/>
      <c r="R160" s="130"/>
      <c r="S160" s="130"/>
      <c r="T160" s="130"/>
    </row>
    <row r="161" spans="1:21" s="120" customFormat="1" ht="24" customHeight="1" x14ac:dyDescent="0.25">
      <c r="A161" s="229"/>
      <c r="B161" s="230"/>
      <c r="C161" s="231"/>
      <c r="D161" s="231"/>
      <c r="E161" s="231"/>
      <c r="F161" s="231"/>
      <c r="G161" s="231"/>
      <c r="H161" s="232"/>
      <c r="I161" s="127">
        <v>2027</v>
      </c>
      <c r="J161" s="128">
        <f t="shared" si="14"/>
        <v>36441.945999999996</v>
      </c>
      <c r="K161" s="129"/>
      <c r="L161" s="128">
        <v>32797.745999999999</v>
      </c>
      <c r="M161" s="128">
        <v>3644.2</v>
      </c>
      <c r="N161" s="129"/>
      <c r="O161" s="133"/>
      <c r="P161" s="130"/>
      <c r="Q161" s="130"/>
      <c r="R161" s="130"/>
      <c r="S161" s="130"/>
      <c r="T161" s="130"/>
    </row>
    <row r="162" spans="1:21" s="120" customFormat="1" ht="161.25" customHeight="1" x14ac:dyDescent="0.35">
      <c r="A162" s="121" t="s">
        <v>227</v>
      </c>
      <c r="B162" s="122" t="s">
        <v>228</v>
      </c>
      <c r="C162" s="123">
        <v>35</v>
      </c>
      <c r="D162" s="123">
        <v>2026</v>
      </c>
      <c r="E162" s="124" t="s">
        <v>229</v>
      </c>
      <c r="F162" s="125" t="s">
        <v>230</v>
      </c>
      <c r="G162" s="126" t="s">
        <v>231</v>
      </c>
      <c r="H162" s="126" t="s">
        <v>232</v>
      </c>
      <c r="I162" s="127">
        <v>2026</v>
      </c>
      <c r="J162" s="128">
        <f t="shared" si="14"/>
        <v>7426.38</v>
      </c>
      <c r="K162" s="129"/>
      <c r="L162" s="128">
        <v>6832.27</v>
      </c>
      <c r="M162" s="128">
        <v>594.11</v>
      </c>
      <c r="N162" s="129"/>
      <c r="O162" s="218"/>
      <c r="P162" s="130"/>
      <c r="Q162" s="130"/>
      <c r="R162" s="130"/>
      <c r="S162" s="130"/>
      <c r="T162" s="130"/>
      <c r="U162" s="131"/>
    </row>
    <row r="163" spans="1:21" s="120" customFormat="1" ht="27" customHeight="1" x14ac:dyDescent="0.25">
      <c r="A163" s="132" t="s">
        <v>233</v>
      </c>
      <c r="B163" s="221" t="s">
        <v>43</v>
      </c>
      <c r="C163" s="222"/>
      <c r="D163" s="222"/>
      <c r="E163" s="222"/>
      <c r="F163" s="222"/>
      <c r="G163" s="222"/>
      <c r="H163" s="223"/>
      <c r="I163" s="127"/>
      <c r="J163" s="129"/>
      <c r="K163" s="129"/>
      <c r="L163" s="129"/>
      <c r="M163" s="129"/>
      <c r="N163" s="129"/>
      <c r="O163" s="219"/>
      <c r="P163" s="130"/>
      <c r="Q163" s="130"/>
      <c r="R163" s="130"/>
      <c r="S163" s="130"/>
      <c r="T163" s="130"/>
    </row>
    <row r="164" spans="1:21" s="120" customFormat="1" ht="24" customHeight="1" x14ac:dyDescent="0.25">
      <c r="A164" s="132" t="s">
        <v>234</v>
      </c>
      <c r="B164" s="221" t="s">
        <v>45</v>
      </c>
      <c r="C164" s="222"/>
      <c r="D164" s="222"/>
      <c r="E164" s="222"/>
      <c r="F164" s="222"/>
      <c r="G164" s="222"/>
      <c r="H164" s="223"/>
      <c r="I164" s="127">
        <v>2026</v>
      </c>
      <c r="J164" s="128">
        <f t="shared" si="14"/>
        <v>7426.38</v>
      </c>
      <c r="K164" s="129"/>
      <c r="L164" s="128">
        <v>6832.27</v>
      </c>
      <c r="M164" s="128">
        <v>594.11</v>
      </c>
      <c r="N164" s="129"/>
      <c r="O164" s="220"/>
      <c r="P164" s="130"/>
      <c r="Q164" s="130"/>
      <c r="R164" s="130"/>
      <c r="S164" s="130"/>
      <c r="T164" s="130"/>
    </row>
    <row r="165" spans="1:21" s="120" customFormat="1" ht="180.75" customHeight="1" x14ac:dyDescent="0.35">
      <c r="A165" s="121" t="s">
        <v>235</v>
      </c>
      <c r="B165" s="122" t="s">
        <v>236</v>
      </c>
      <c r="C165" s="123">
        <v>15</v>
      </c>
      <c r="D165" s="123">
        <v>2026</v>
      </c>
      <c r="E165" s="124" t="s">
        <v>237</v>
      </c>
      <c r="F165" s="125" t="s">
        <v>238</v>
      </c>
      <c r="G165" s="126" t="s">
        <v>231</v>
      </c>
      <c r="H165" s="136" t="s">
        <v>232</v>
      </c>
      <c r="I165" s="127">
        <v>2026</v>
      </c>
      <c r="J165" s="128">
        <f t="shared" si="14"/>
        <v>1722.8999999999999</v>
      </c>
      <c r="K165" s="129"/>
      <c r="L165" s="128">
        <v>1585.07</v>
      </c>
      <c r="M165" s="128">
        <v>137.83000000000001</v>
      </c>
      <c r="N165" s="129"/>
      <c r="O165" s="218"/>
      <c r="P165" s="130"/>
      <c r="Q165" s="130"/>
      <c r="R165" s="130"/>
      <c r="S165" s="130"/>
      <c r="T165" s="130"/>
      <c r="U165" s="131"/>
    </row>
    <row r="166" spans="1:21" s="120" customFormat="1" ht="27" customHeight="1" x14ac:dyDescent="0.25">
      <c r="A166" s="132" t="s">
        <v>239</v>
      </c>
      <c r="B166" s="221" t="s">
        <v>43</v>
      </c>
      <c r="C166" s="222"/>
      <c r="D166" s="222"/>
      <c r="E166" s="222"/>
      <c r="F166" s="222"/>
      <c r="G166" s="222"/>
      <c r="H166" s="223"/>
      <c r="I166" s="127"/>
      <c r="J166" s="129"/>
      <c r="K166" s="129"/>
      <c r="L166" s="129"/>
      <c r="M166" s="129"/>
      <c r="N166" s="129"/>
      <c r="O166" s="219"/>
      <c r="P166" s="130"/>
      <c r="Q166" s="130"/>
      <c r="R166" s="130"/>
      <c r="S166" s="130"/>
      <c r="T166" s="130"/>
    </row>
    <row r="167" spans="1:21" s="120" customFormat="1" ht="24" customHeight="1" x14ac:dyDescent="0.25">
      <c r="A167" s="132" t="s">
        <v>240</v>
      </c>
      <c r="B167" s="221" t="s">
        <v>45</v>
      </c>
      <c r="C167" s="222"/>
      <c r="D167" s="222"/>
      <c r="E167" s="222"/>
      <c r="F167" s="222"/>
      <c r="G167" s="222"/>
      <c r="H167" s="223"/>
      <c r="I167" s="127">
        <v>2026</v>
      </c>
      <c r="J167" s="128">
        <f t="shared" si="14"/>
        <v>1722.8999999999999</v>
      </c>
      <c r="K167" s="129"/>
      <c r="L167" s="128">
        <v>1585.07</v>
      </c>
      <c r="M167" s="128">
        <v>137.83000000000001</v>
      </c>
      <c r="N167" s="129"/>
      <c r="O167" s="220"/>
      <c r="P167" s="130"/>
      <c r="Q167" s="130"/>
      <c r="R167" s="130"/>
      <c r="S167" s="130"/>
      <c r="T167" s="130"/>
    </row>
    <row r="168" spans="1:21" ht="180.75" customHeight="1" x14ac:dyDescent="0.35">
      <c r="A168" s="60" t="s">
        <v>241</v>
      </c>
      <c r="B168" s="61" t="s">
        <v>242</v>
      </c>
      <c r="C168" s="16">
        <v>32</v>
      </c>
      <c r="D168" s="16">
        <v>2027</v>
      </c>
      <c r="E168" s="58" t="s">
        <v>243</v>
      </c>
      <c r="F168" s="18" t="s">
        <v>244</v>
      </c>
      <c r="G168" s="104" t="s">
        <v>245</v>
      </c>
      <c r="H168" s="104" t="s">
        <v>245</v>
      </c>
      <c r="I168" s="119">
        <v>2027</v>
      </c>
      <c r="J168" s="106">
        <f t="shared" si="14"/>
        <v>96202.664000000004</v>
      </c>
      <c r="K168" s="137"/>
      <c r="L168" s="106">
        <v>86582.394</v>
      </c>
      <c r="M168" s="106">
        <v>9620.27</v>
      </c>
      <c r="N168" s="137"/>
      <c r="O168" s="195"/>
      <c r="U168" s="117"/>
    </row>
    <row r="169" spans="1:21" ht="27" customHeight="1" x14ac:dyDescent="0.25">
      <c r="A169" s="103" t="s">
        <v>246</v>
      </c>
      <c r="B169" s="205" t="s">
        <v>43</v>
      </c>
      <c r="C169" s="206"/>
      <c r="D169" s="206"/>
      <c r="E169" s="206"/>
      <c r="F169" s="206"/>
      <c r="G169" s="206"/>
      <c r="H169" s="207"/>
      <c r="I169" s="138"/>
      <c r="J169" s="137"/>
      <c r="K169" s="137"/>
      <c r="L169" s="137"/>
      <c r="M169" s="137"/>
      <c r="N169" s="137"/>
      <c r="O169" s="196"/>
    </row>
    <row r="170" spans="1:21" ht="24" customHeight="1" x14ac:dyDescent="0.25">
      <c r="A170" s="103" t="s">
        <v>247</v>
      </c>
      <c r="B170" s="205" t="s">
        <v>45</v>
      </c>
      <c r="C170" s="206"/>
      <c r="D170" s="206"/>
      <c r="E170" s="206"/>
      <c r="F170" s="206"/>
      <c r="G170" s="206"/>
      <c r="H170" s="207"/>
      <c r="I170" s="119">
        <v>2027</v>
      </c>
      <c r="J170" s="106">
        <f t="shared" si="14"/>
        <v>96202.664000000004</v>
      </c>
      <c r="K170" s="137"/>
      <c r="L170" s="106">
        <v>86582.394</v>
      </c>
      <c r="M170" s="106">
        <v>9620.27</v>
      </c>
      <c r="N170" s="137"/>
      <c r="O170" s="198"/>
    </row>
    <row r="171" spans="1:21" ht="180.75" customHeight="1" x14ac:dyDescent="0.35">
      <c r="A171" s="60" t="s">
        <v>248</v>
      </c>
      <c r="B171" s="61" t="s">
        <v>249</v>
      </c>
      <c r="C171" s="16">
        <v>83</v>
      </c>
      <c r="D171" s="16">
        <v>2027</v>
      </c>
      <c r="E171" s="58" t="s">
        <v>250</v>
      </c>
      <c r="F171" s="18" t="s">
        <v>251</v>
      </c>
      <c r="G171" s="104" t="s">
        <v>252</v>
      </c>
      <c r="H171" s="104" t="s">
        <v>252</v>
      </c>
      <c r="I171" s="119">
        <v>2027</v>
      </c>
      <c r="J171" s="106">
        <f t="shared" si="14"/>
        <v>9373.5968000000012</v>
      </c>
      <c r="K171" s="137"/>
      <c r="L171" s="106">
        <v>8529.9768000000004</v>
      </c>
      <c r="M171" s="106">
        <v>843.62</v>
      </c>
      <c r="N171" s="137"/>
      <c r="O171" s="195"/>
      <c r="U171" s="117"/>
    </row>
    <row r="172" spans="1:21" ht="27" customHeight="1" x14ac:dyDescent="0.25">
      <c r="A172" s="103" t="s">
        <v>253</v>
      </c>
      <c r="B172" s="205" t="s">
        <v>43</v>
      </c>
      <c r="C172" s="206"/>
      <c r="D172" s="206"/>
      <c r="E172" s="206"/>
      <c r="F172" s="206"/>
      <c r="G172" s="206"/>
      <c r="H172" s="207"/>
      <c r="I172" s="138"/>
      <c r="J172" s="137"/>
      <c r="K172" s="137"/>
      <c r="L172" s="137"/>
      <c r="M172" s="137"/>
      <c r="N172" s="137"/>
      <c r="O172" s="196"/>
    </row>
    <row r="173" spans="1:21" ht="24" customHeight="1" x14ac:dyDescent="0.25">
      <c r="A173" s="103" t="s">
        <v>254</v>
      </c>
      <c r="B173" s="205" t="s">
        <v>45</v>
      </c>
      <c r="C173" s="206"/>
      <c r="D173" s="206"/>
      <c r="E173" s="206"/>
      <c r="F173" s="206"/>
      <c r="G173" s="206"/>
      <c r="H173" s="207"/>
      <c r="I173" s="119">
        <v>2027</v>
      </c>
      <c r="J173" s="106">
        <f t="shared" si="14"/>
        <v>9373.5968000000012</v>
      </c>
      <c r="K173" s="137"/>
      <c r="L173" s="106">
        <v>8529.9768000000004</v>
      </c>
      <c r="M173" s="106">
        <v>843.62</v>
      </c>
      <c r="N173" s="137"/>
      <c r="O173" s="198"/>
    </row>
    <row r="174" spans="1:21" ht="180.75" customHeight="1" x14ac:dyDescent="0.35">
      <c r="A174" s="60" t="s">
        <v>255</v>
      </c>
      <c r="B174" s="61" t="s">
        <v>256</v>
      </c>
      <c r="C174" s="16">
        <v>30</v>
      </c>
      <c r="D174" s="16">
        <v>2027</v>
      </c>
      <c r="E174" s="58" t="s">
        <v>257</v>
      </c>
      <c r="F174" s="18" t="s">
        <v>258</v>
      </c>
      <c r="G174" s="104" t="s">
        <v>259</v>
      </c>
      <c r="H174" s="104" t="s">
        <v>259</v>
      </c>
      <c r="I174" s="119">
        <v>2027</v>
      </c>
      <c r="J174" s="106">
        <f t="shared" si="14"/>
        <v>11829.659100000001</v>
      </c>
      <c r="K174" s="137"/>
      <c r="L174" s="106">
        <v>11001.579100000001</v>
      </c>
      <c r="M174" s="106">
        <v>828.08</v>
      </c>
      <c r="N174" s="137"/>
      <c r="O174" s="195"/>
      <c r="U174" s="117"/>
    </row>
    <row r="175" spans="1:21" ht="27" customHeight="1" x14ac:dyDescent="0.25">
      <c r="A175" s="103" t="s">
        <v>260</v>
      </c>
      <c r="B175" s="205" t="s">
        <v>43</v>
      </c>
      <c r="C175" s="206"/>
      <c r="D175" s="206"/>
      <c r="E175" s="206"/>
      <c r="F175" s="206"/>
      <c r="G175" s="206"/>
      <c r="H175" s="207"/>
      <c r="I175" s="119"/>
      <c r="J175" s="137"/>
      <c r="K175" s="137"/>
      <c r="L175" s="137"/>
      <c r="M175" s="137"/>
      <c r="N175" s="137"/>
      <c r="O175" s="196"/>
    </row>
    <row r="176" spans="1:21" ht="24" customHeight="1" x14ac:dyDescent="0.25">
      <c r="A176" s="103" t="s">
        <v>261</v>
      </c>
      <c r="B176" s="205" t="s">
        <v>45</v>
      </c>
      <c r="C176" s="206"/>
      <c r="D176" s="206"/>
      <c r="E176" s="206"/>
      <c r="F176" s="206"/>
      <c r="G176" s="206"/>
      <c r="H176" s="207"/>
      <c r="I176" s="119">
        <v>2027</v>
      </c>
      <c r="J176" s="106">
        <f t="shared" si="14"/>
        <v>11829.659100000001</v>
      </c>
      <c r="K176" s="137"/>
      <c r="L176" s="106">
        <v>11001.579100000001</v>
      </c>
      <c r="M176" s="106">
        <v>828.08</v>
      </c>
      <c r="N176" s="137"/>
      <c r="O176" s="198"/>
    </row>
    <row r="177" spans="1:257" ht="180.75" customHeight="1" x14ac:dyDescent="0.35">
      <c r="A177" s="60" t="s">
        <v>262</v>
      </c>
      <c r="B177" s="61" t="s">
        <v>263</v>
      </c>
      <c r="C177" s="16">
        <v>50</v>
      </c>
      <c r="D177" s="16">
        <v>2027</v>
      </c>
      <c r="E177" s="58" t="s">
        <v>264</v>
      </c>
      <c r="F177" s="18" t="s">
        <v>265</v>
      </c>
      <c r="G177" s="104" t="s">
        <v>266</v>
      </c>
      <c r="H177" s="104" t="s">
        <v>266</v>
      </c>
      <c r="I177" s="119">
        <v>2027</v>
      </c>
      <c r="J177" s="106">
        <f t="shared" si="14"/>
        <v>64524.301599999999</v>
      </c>
      <c r="K177" s="137"/>
      <c r="L177" s="106">
        <v>59362.361599999997</v>
      </c>
      <c r="M177" s="106">
        <v>5161.9399999999996</v>
      </c>
      <c r="N177" s="137"/>
      <c r="O177" s="195"/>
      <c r="U177" s="117"/>
    </row>
    <row r="178" spans="1:257" ht="27" customHeight="1" x14ac:dyDescent="0.25">
      <c r="A178" s="103" t="s">
        <v>267</v>
      </c>
      <c r="B178" s="205" t="s">
        <v>43</v>
      </c>
      <c r="C178" s="206"/>
      <c r="D178" s="206"/>
      <c r="E178" s="206"/>
      <c r="F178" s="206"/>
      <c r="G178" s="206"/>
      <c r="H178" s="207"/>
      <c r="I178" s="138"/>
      <c r="J178" s="137"/>
      <c r="K178" s="137"/>
      <c r="L178" s="137"/>
      <c r="M178" s="137"/>
      <c r="N178" s="137"/>
      <c r="O178" s="196"/>
    </row>
    <row r="179" spans="1:257" ht="24" customHeight="1" x14ac:dyDescent="0.25">
      <c r="A179" s="103" t="s">
        <v>268</v>
      </c>
      <c r="B179" s="180" t="s">
        <v>45</v>
      </c>
      <c r="C179" s="181"/>
      <c r="D179" s="181"/>
      <c r="E179" s="181"/>
      <c r="F179" s="181"/>
      <c r="G179" s="181"/>
      <c r="H179" s="182"/>
      <c r="I179" s="119">
        <v>2027</v>
      </c>
      <c r="J179" s="106">
        <f t="shared" si="14"/>
        <v>64524.301599999999</v>
      </c>
      <c r="K179" s="137"/>
      <c r="L179" s="106">
        <v>59362.361599999997</v>
      </c>
      <c r="M179" s="106">
        <v>5161.9399999999996</v>
      </c>
      <c r="N179" s="137"/>
      <c r="O179" s="198"/>
    </row>
    <row r="180" spans="1:257" ht="180.75" customHeight="1" x14ac:dyDescent="0.35">
      <c r="A180" s="209" t="s">
        <v>269</v>
      </c>
      <c r="B180" s="211" t="s">
        <v>270</v>
      </c>
      <c r="C180" s="212">
        <v>36</v>
      </c>
      <c r="D180" s="212" t="s">
        <v>105</v>
      </c>
      <c r="E180" s="211" t="s">
        <v>271</v>
      </c>
      <c r="F180" s="212" t="s">
        <v>272</v>
      </c>
      <c r="G180" s="213" t="s">
        <v>178</v>
      </c>
      <c r="H180" s="214" t="s">
        <v>273</v>
      </c>
      <c r="I180" s="116">
        <v>2026</v>
      </c>
      <c r="J180" s="106">
        <f t="shared" si="14"/>
        <v>48669.91</v>
      </c>
      <c r="K180" s="137"/>
      <c r="L180" s="106">
        <v>46236.41</v>
      </c>
      <c r="M180" s="106">
        <v>2433.5</v>
      </c>
      <c r="N180" s="137"/>
      <c r="O180" s="195"/>
      <c r="U180" s="117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1"/>
      <c r="IJ180" s="1"/>
      <c r="IK180" s="1"/>
      <c r="IL180" s="1"/>
      <c r="IM180" s="1"/>
      <c r="IN180" s="1"/>
      <c r="IO180" s="1"/>
      <c r="IP180" s="1"/>
      <c r="IQ180" s="1"/>
      <c r="IR180" s="1"/>
      <c r="IS180" s="1"/>
      <c r="IT180" s="1"/>
      <c r="IU180" s="1"/>
      <c r="IV180" s="1"/>
      <c r="IW180" s="1"/>
    </row>
    <row r="181" spans="1:257" ht="27.75" customHeight="1" x14ac:dyDescent="0.35">
      <c r="A181" s="210"/>
      <c r="B181" s="211"/>
      <c r="C181" s="212"/>
      <c r="D181" s="212"/>
      <c r="E181" s="211"/>
      <c r="F181" s="212"/>
      <c r="G181" s="213"/>
      <c r="H181" s="215"/>
      <c r="I181" s="116">
        <v>2027</v>
      </c>
      <c r="J181" s="106">
        <f t="shared" si="14"/>
        <v>51408.770000000004</v>
      </c>
      <c r="K181" s="137"/>
      <c r="L181" s="106">
        <v>48838.33</v>
      </c>
      <c r="M181" s="106">
        <v>2570.44</v>
      </c>
      <c r="N181" s="137"/>
      <c r="O181" s="196"/>
      <c r="U181" s="117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  <c r="ID181" s="1"/>
      <c r="IE181" s="1"/>
      <c r="IF181" s="1"/>
      <c r="IG181" s="1"/>
      <c r="IH181" s="1"/>
      <c r="II181" s="1"/>
      <c r="IJ181" s="1"/>
      <c r="IK181" s="1"/>
      <c r="IL181" s="1"/>
      <c r="IM181" s="1"/>
      <c r="IN181" s="1"/>
      <c r="IO181" s="1"/>
      <c r="IP181" s="1"/>
      <c r="IQ181" s="1"/>
      <c r="IR181" s="1"/>
      <c r="IS181" s="1"/>
      <c r="IT181" s="1"/>
      <c r="IU181" s="1"/>
      <c r="IV181" s="1"/>
      <c r="IW181" s="1"/>
    </row>
    <row r="182" spans="1:257" ht="30" customHeight="1" x14ac:dyDescent="0.25">
      <c r="A182" s="103" t="s">
        <v>274</v>
      </c>
      <c r="B182" s="189" t="s">
        <v>43</v>
      </c>
      <c r="C182" s="190"/>
      <c r="D182" s="190"/>
      <c r="E182" s="190"/>
      <c r="F182" s="190"/>
      <c r="G182" s="190"/>
      <c r="H182" s="191"/>
      <c r="I182" s="138"/>
      <c r="J182" s="137"/>
      <c r="K182" s="137"/>
      <c r="L182" s="137"/>
      <c r="M182" s="137"/>
      <c r="N182" s="137"/>
      <c r="O182" s="196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  <c r="HX182" s="1"/>
      <c r="HY182" s="1"/>
      <c r="HZ182" s="1"/>
      <c r="IA182" s="1"/>
      <c r="IB182" s="1"/>
      <c r="IC182" s="1"/>
      <c r="ID182" s="1"/>
      <c r="IE182" s="1"/>
      <c r="IF182" s="1"/>
      <c r="IG182" s="1"/>
      <c r="IH182" s="1"/>
      <c r="II182" s="1"/>
      <c r="IJ182" s="1"/>
      <c r="IK182" s="1"/>
      <c r="IL182" s="1"/>
      <c r="IM182" s="1"/>
      <c r="IN182" s="1"/>
      <c r="IO182" s="1"/>
      <c r="IP182" s="1"/>
      <c r="IQ182" s="1"/>
      <c r="IR182" s="1"/>
      <c r="IS182" s="1"/>
      <c r="IT182" s="1"/>
      <c r="IU182" s="1"/>
      <c r="IV182" s="1"/>
      <c r="IW182" s="1"/>
    </row>
    <row r="183" spans="1:257" ht="30" customHeight="1" x14ac:dyDescent="0.25">
      <c r="A183" s="216" t="s">
        <v>275</v>
      </c>
      <c r="B183" s="183" t="s">
        <v>45</v>
      </c>
      <c r="C183" s="184"/>
      <c r="D183" s="184"/>
      <c r="E183" s="184"/>
      <c r="F183" s="184"/>
      <c r="G183" s="184"/>
      <c r="H183" s="185"/>
      <c r="I183" s="119">
        <v>2026</v>
      </c>
      <c r="J183" s="106">
        <f t="shared" ref="J183:J203" si="15">SUM(K183:N183)</f>
        <v>48669.91</v>
      </c>
      <c r="K183" s="107"/>
      <c r="L183" s="106">
        <v>46236.41</v>
      </c>
      <c r="M183" s="106">
        <v>2433.5</v>
      </c>
      <c r="N183" s="137"/>
      <c r="O183" s="196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  <c r="HX183" s="1"/>
      <c r="HY183" s="1"/>
      <c r="HZ183" s="1"/>
      <c r="IA183" s="1"/>
      <c r="IB183" s="1"/>
      <c r="IC183" s="1"/>
      <c r="ID183" s="1"/>
      <c r="IE183" s="1"/>
      <c r="IF183" s="1"/>
      <c r="IG183" s="1"/>
      <c r="IH183" s="1"/>
      <c r="II183" s="1"/>
      <c r="IJ183" s="1"/>
      <c r="IK183" s="1"/>
      <c r="IL183" s="1"/>
      <c r="IM183" s="1"/>
      <c r="IN183" s="1"/>
      <c r="IO183" s="1"/>
      <c r="IP183" s="1"/>
      <c r="IQ183" s="1"/>
      <c r="IR183" s="1"/>
      <c r="IS183" s="1"/>
      <c r="IT183" s="1"/>
      <c r="IU183" s="1"/>
      <c r="IV183" s="1"/>
      <c r="IW183" s="1"/>
    </row>
    <row r="184" spans="1:257" ht="24" customHeight="1" x14ac:dyDescent="0.25">
      <c r="A184" s="217"/>
      <c r="B184" s="189"/>
      <c r="C184" s="190"/>
      <c r="D184" s="190"/>
      <c r="E184" s="190"/>
      <c r="F184" s="190"/>
      <c r="G184" s="190"/>
      <c r="H184" s="191"/>
      <c r="I184" s="119">
        <v>2027</v>
      </c>
      <c r="J184" s="106">
        <f t="shared" si="15"/>
        <v>51408.770000000004</v>
      </c>
      <c r="K184" s="137"/>
      <c r="L184" s="106">
        <v>48838.33</v>
      </c>
      <c r="M184" s="106">
        <v>2570.44</v>
      </c>
      <c r="N184" s="137"/>
      <c r="O184" s="198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  <c r="HW184" s="1"/>
      <c r="HX184" s="1"/>
      <c r="HY184" s="1"/>
      <c r="HZ184" s="1"/>
      <c r="IA184" s="1"/>
      <c r="IB184" s="1"/>
      <c r="IC184" s="1"/>
      <c r="ID184" s="1"/>
      <c r="IE184" s="1"/>
      <c r="IF184" s="1"/>
      <c r="IG184" s="1"/>
      <c r="IH184" s="1"/>
      <c r="II184" s="1"/>
      <c r="IJ184" s="1"/>
      <c r="IK184" s="1"/>
      <c r="IL184" s="1"/>
      <c r="IM184" s="1"/>
      <c r="IN184" s="1"/>
      <c r="IO184" s="1"/>
      <c r="IP184" s="1"/>
      <c r="IQ184" s="1"/>
      <c r="IR184" s="1"/>
      <c r="IS184" s="1"/>
      <c r="IT184" s="1"/>
      <c r="IU184" s="1"/>
      <c r="IV184" s="1"/>
      <c r="IW184" s="1"/>
    </row>
    <row r="185" spans="1:257" ht="143.25" customHeight="1" x14ac:dyDescent="0.35">
      <c r="A185" s="60" t="s">
        <v>276</v>
      </c>
      <c r="B185" s="61" t="s">
        <v>277</v>
      </c>
      <c r="C185" s="16">
        <v>35</v>
      </c>
      <c r="D185" s="16" t="s">
        <v>278</v>
      </c>
      <c r="E185" s="58" t="s">
        <v>279</v>
      </c>
      <c r="F185" s="18" t="s">
        <v>280</v>
      </c>
      <c r="G185" s="104" t="s">
        <v>281</v>
      </c>
      <c r="H185" s="134" t="s">
        <v>281</v>
      </c>
      <c r="I185" s="139">
        <v>2028</v>
      </c>
      <c r="J185" s="111">
        <f t="shared" si="15"/>
        <v>61534</v>
      </c>
      <c r="K185" s="140"/>
      <c r="L185" s="111">
        <v>56611.28</v>
      </c>
      <c r="M185" s="111">
        <v>4922.72</v>
      </c>
      <c r="N185" s="140"/>
      <c r="O185" s="195"/>
      <c r="U185" s="117"/>
    </row>
    <row r="186" spans="1:257" ht="24" customHeight="1" x14ac:dyDescent="0.25">
      <c r="A186" s="103" t="s">
        <v>282</v>
      </c>
      <c r="B186" s="205" t="s">
        <v>43</v>
      </c>
      <c r="C186" s="206"/>
      <c r="D186" s="206"/>
      <c r="E186" s="206"/>
      <c r="F186" s="206"/>
      <c r="G186" s="206"/>
      <c r="H186" s="206"/>
      <c r="I186" s="141"/>
      <c r="J186" s="142"/>
      <c r="K186" s="140"/>
      <c r="L186" s="142"/>
      <c r="M186" s="140"/>
      <c r="N186" s="142"/>
      <c r="O186" s="196"/>
    </row>
    <row r="187" spans="1:257" ht="24" customHeight="1" x14ac:dyDescent="0.25">
      <c r="A187" s="103" t="s">
        <v>283</v>
      </c>
      <c r="B187" s="205" t="s">
        <v>45</v>
      </c>
      <c r="C187" s="206"/>
      <c r="D187" s="206"/>
      <c r="E187" s="206"/>
      <c r="F187" s="206"/>
      <c r="G187" s="206"/>
      <c r="H187" s="206"/>
      <c r="I187" s="143">
        <v>2028</v>
      </c>
      <c r="J187" s="144">
        <f t="shared" si="15"/>
        <v>61534</v>
      </c>
      <c r="K187" s="137"/>
      <c r="L187" s="106">
        <v>56611.28</v>
      </c>
      <c r="M187" s="106">
        <v>4922.72</v>
      </c>
      <c r="N187" s="137"/>
      <c r="O187" s="198"/>
    </row>
    <row r="188" spans="1:257" ht="111.75" customHeight="1" x14ac:dyDescent="0.35">
      <c r="A188" s="60" t="s">
        <v>284</v>
      </c>
      <c r="B188" s="61" t="s">
        <v>285</v>
      </c>
      <c r="C188" s="16">
        <v>108</v>
      </c>
      <c r="D188" s="16">
        <v>2028</v>
      </c>
      <c r="E188" s="58" t="s">
        <v>286</v>
      </c>
      <c r="F188" s="18" t="s">
        <v>287</v>
      </c>
      <c r="G188" s="104" t="s">
        <v>200</v>
      </c>
      <c r="H188" s="115" t="s">
        <v>200</v>
      </c>
      <c r="I188" s="119">
        <v>2028</v>
      </c>
      <c r="J188" s="111">
        <f t="shared" si="15"/>
        <v>6824.7999999999993</v>
      </c>
      <c r="K188" s="140"/>
      <c r="L188" s="111">
        <v>6278.82</v>
      </c>
      <c r="M188" s="111">
        <v>545.98</v>
      </c>
      <c r="N188" s="140"/>
      <c r="O188" s="195"/>
      <c r="U188" s="117"/>
    </row>
    <row r="189" spans="1:257" ht="24" customHeight="1" x14ac:dyDescent="0.25">
      <c r="A189" s="103" t="s">
        <v>288</v>
      </c>
      <c r="B189" s="205" t="s">
        <v>43</v>
      </c>
      <c r="C189" s="206"/>
      <c r="D189" s="206"/>
      <c r="E189" s="206"/>
      <c r="F189" s="206"/>
      <c r="G189" s="206"/>
      <c r="H189" s="207"/>
      <c r="I189" s="145"/>
      <c r="J189" s="142"/>
      <c r="K189" s="140"/>
      <c r="L189" s="142"/>
      <c r="M189" s="140"/>
      <c r="N189" s="142"/>
      <c r="O189" s="196"/>
    </row>
    <row r="190" spans="1:257" ht="24" customHeight="1" x14ac:dyDescent="0.25">
      <c r="A190" s="103" t="s">
        <v>289</v>
      </c>
      <c r="B190" s="205" t="s">
        <v>45</v>
      </c>
      <c r="C190" s="206"/>
      <c r="D190" s="206"/>
      <c r="E190" s="206"/>
      <c r="F190" s="206"/>
      <c r="G190" s="206"/>
      <c r="H190" s="206"/>
      <c r="I190" s="143">
        <v>2028</v>
      </c>
      <c r="J190" s="144">
        <f t="shared" si="15"/>
        <v>6824.8099999999995</v>
      </c>
      <c r="K190" s="137"/>
      <c r="L190" s="106">
        <v>6278.83</v>
      </c>
      <c r="M190" s="106">
        <v>545.98</v>
      </c>
      <c r="N190" s="137"/>
      <c r="O190" s="198"/>
    </row>
    <row r="191" spans="1:257" ht="107.25" customHeight="1" x14ac:dyDescent="0.35">
      <c r="A191" s="60" t="s">
        <v>290</v>
      </c>
      <c r="B191" s="61" t="s">
        <v>291</v>
      </c>
      <c r="C191" s="16">
        <v>28</v>
      </c>
      <c r="D191" s="16">
        <v>2028</v>
      </c>
      <c r="E191" s="58" t="s">
        <v>292</v>
      </c>
      <c r="F191" s="18" t="s">
        <v>293</v>
      </c>
      <c r="G191" s="104" t="s">
        <v>294</v>
      </c>
      <c r="H191" s="134" t="s">
        <v>294</v>
      </c>
      <c r="I191" s="119">
        <v>2028</v>
      </c>
      <c r="J191" s="111">
        <f t="shared" si="15"/>
        <v>50234.8</v>
      </c>
      <c r="K191" s="140"/>
      <c r="L191" s="106">
        <v>43201.93</v>
      </c>
      <c r="M191" s="106">
        <v>7032.87</v>
      </c>
      <c r="N191" s="137"/>
      <c r="O191" s="195"/>
      <c r="U191" s="117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  <c r="HS191" s="1"/>
      <c r="HT191" s="1"/>
      <c r="HU191" s="1"/>
      <c r="HV191" s="1"/>
      <c r="HW191" s="1"/>
      <c r="HX191" s="1"/>
      <c r="HY191" s="1"/>
      <c r="HZ191" s="1"/>
      <c r="IA191" s="1"/>
      <c r="IB191" s="1"/>
      <c r="IC191" s="1"/>
      <c r="ID191" s="1"/>
      <c r="IE191" s="1"/>
      <c r="IF191" s="1"/>
      <c r="IG191" s="1"/>
      <c r="IH191" s="1"/>
      <c r="II191" s="1"/>
      <c r="IJ191" s="1"/>
      <c r="IK191" s="1"/>
      <c r="IL191" s="1"/>
      <c r="IM191" s="1"/>
      <c r="IN191" s="1"/>
      <c r="IO191" s="1"/>
      <c r="IP191" s="1"/>
      <c r="IQ191" s="1"/>
      <c r="IR191" s="1"/>
      <c r="IS191" s="1"/>
      <c r="IT191" s="1"/>
      <c r="IU191" s="1"/>
      <c r="IV191" s="1"/>
      <c r="IW191" s="1"/>
    </row>
    <row r="192" spans="1:257" ht="24" customHeight="1" x14ac:dyDescent="0.25">
      <c r="A192" s="103" t="s">
        <v>295</v>
      </c>
      <c r="B192" s="205" t="s">
        <v>43</v>
      </c>
      <c r="C192" s="206"/>
      <c r="D192" s="206"/>
      <c r="E192" s="206"/>
      <c r="F192" s="206"/>
      <c r="G192" s="206"/>
      <c r="H192" s="207"/>
      <c r="I192" s="145"/>
      <c r="J192" s="142"/>
      <c r="K192" s="146"/>
      <c r="L192" s="147"/>
      <c r="M192" s="147"/>
      <c r="N192" s="148"/>
      <c r="O192" s="208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  <c r="HS192" s="1"/>
      <c r="HT192" s="1"/>
      <c r="HU192" s="1"/>
      <c r="HV192" s="1"/>
      <c r="HW192" s="1"/>
      <c r="HX192" s="1"/>
      <c r="HY192" s="1"/>
      <c r="HZ192" s="1"/>
      <c r="IA192" s="1"/>
      <c r="IB192" s="1"/>
      <c r="IC192" s="1"/>
      <c r="ID192" s="1"/>
      <c r="IE192" s="1"/>
      <c r="IF192" s="1"/>
      <c r="IG192" s="1"/>
      <c r="IH192" s="1"/>
      <c r="II192" s="1"/>
      <c r="IJ192" s="1"/>
      <c r="IK192" s="1"/>
      <c r="IL192" s="1"/>
      <c r="IM192" s="1"/>
      <c r="IN192" s="1"/>
      <c r="IO192" s="1"/>
      <c r="IP192" s="1"/>
      <c r="IQ192" s="1"/>
      <c r="IR192" s="1"/>
      <c r="IS192" s="1"/>
      <c r="IT192" s="1"/>
      <c r="IU192" s="1"/>
      <c r="IV192" s="1"/>
      <c r="IW192" s="1"/>
    </row>
    <row r="193" spans="1:257" ht="24" customHeight="1" x14ac:dyDescent="0.25">
      <c r="A193" s="103" t="s">
        <v>296</v>
      </c>
      <c r="B193" s="205" t="s">
        <v>45</v>
      </c>
      <c r="C193" s="206"/>
      <c r="D193" s="206"/>
      <c r="E193" s="206"/>
      <c r="F193" s="206"/>
      <c r="G193" s="206"/>
      <c r="H193" s="206"/>
      <c r="I193" s="143">
        <v>2028</v>
      </c>
      <c r="J193" s="144">
        <f t="shared" si="15"/>
        <v>50234.8</v>
      </c>
      <c r="K193" s="137"/>
      <c r="L193" s="113">
        <v>43201.93</v>
      </c>
      <c r="M193" s="149">
        <v>7032.87</v>
      </c>
      <c r="N193" s="150"/>
      <c r="O193" s="198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1"/>
      <c r="IJ193" s="1"/>
      <c r="IK193" s="1"/>
      <c r="IL193" s="1"/>
      <c r="IM193" s="1"/>
      <c r="IN193" s="1"/>
      <c r="IO193" s="1"/>
      <c r="IP193" s="1"/>
      <c r="IQ193" s="1"/>
      <c r="IR193" s="1"/>
      <c r="IS193" s="1"/>
      <c r="IT193" s="1"/>
      <c r="IU193" s="1"/>
      <c r="IV193" s="1"/>
      <c r="IW193" s="1"/>
    </row>
    <row r="194" spans="1:257" ht="81.75" customHeight="1" x14ac:dyDescent="0.35">
      <c r="A194" s="60" t="s">
        <v>297</v>
      </c>
      <c r="B194" s="61" t="s">
        <v>298</v>
      </c>
      <c r="C194" s="16">
        <v>71</v>
      </c>
      <c r="D194" s="16" t="s">
        <v>278</v>
      </c>
      <c r="E194" s="58" t="s">
        <v>299</v>
      </c>
      <c r="F194" s="18" t="s">
        <v>300</v>
      </c>
      <c r="G194" s="104" t="s">
        <v>155</v>
      </c>
      <c r="H194" s="134" t="s">
        <v>155</v>
      </c>
      <c r="I194" s="119">
        <v>2028</v>
      </c>
      <c r="J194" s="111">
        <f t="shared" si="15"/>
        <v>87358</v>
      </c>
      <c r="K194" s="140"/>
      <c r="L194" s="111">
        <v>78622.2</v>
      </c>
      <c r="M194" s="111">
        <v>8735.7999999999993</v>
      </c>
      <c r="N194" s="140"/>
      <c r="O194" s="195"/>
      <c r="U194" s="117"/>
    </row>
    <row r="195" spans="1:257" ht="24" customHeight="1" x14ac:dyDescent="0.25">
      <c r="A195" s="103" t="s">
        <v>301</v>
      </c>
      <c r="B195" s="205" t="s">
        <v>43</v>
      </c>
      <c r="C195" s="206"/>
      <c r="D195" s="206"/>
      <c r="E195" s="206"/>
      <c r="F195" s="206"/>
      <c r="G195" s="206"/>
      <c r="H195" s="207"/>
      <c r="I195" s="145"/>
      <c r="J195" s="142"/>
      <c r="K195" s="140"/>
      <c r="L195" s="142"/>
      <c r="M195" s="140"/>
      <c r="N195" s="142"/>
      <c r="O195" s="196"/>
    </row>
    <row r="196" spans="1:257" ht="24" customHeight="1" x14ac:dyDescent="0.25">
      <c r="A196" s="103" t="s">
        <v>302</v>
      </c>
      <c r="B196" s="205" t="s">
        <v>45</v>
      </c>
      <c r="C196" s="206"/>
      <c r="D196" s="206"/>
      <c r="E196" s="206"/>
      <c r="F196" s="206"/>
      <c r="G196" s="206"/>
      <c r="H196" s="206"/>
      <c r="I196" s="143">
        <v>2028</v>
      </c>
      <c r="J196" s="144">
        <f t="shared" si="15"/>
        <v>87358</v>
      </c>
      <c r="K196" s="137"/>
      <c r="L196" s="106">
        <v>78622.2</v>
      </c>
      <c r="M196" s="106">
        <v>8735.7999999999993</v>
      </c>
      <c r="N196" s="137"/>
      <c r="O196" s="198"/>
    </row>
    <row r="197" spans="1:257" ht="123" customHeight="1" x14ac:dyDescent="0.35">
      <c r="A197" s="60" t="s">
        <v>303</v>
      </c>
      <c r="B197" s="61" t="s">
        <v>304</v>
      </c>
      <c r="C197" s="16">
        <v>10</v>
      </c>
      <c r="D197" s="16">
        <v>2028</v>
      </c>
      <c r="E197" s="58" t="s">
        <v>305</v>
      </c>
      <c r="F197" s="18" t="s">
        <v>306</v>
      </c>
      <c r="G197" s="104" t="s">
        <v>307</v>
      </c>
      <c r="H197" s="134" t="s">
        <v>307</v>
      </c>
      <c r="I197" s="119">
        <v>2028</v>
      </c>
      <c r="J197" s="111">
        <f t="shared" si="15"/>
        <v>7663.01</v>
      </c>
      <c r="K197" s="140"/>
      <c r="L197" s="111">
        <v>6973.34</v>
      </c>
      <c r="M197" s="111">
        <v>689.67</v>
      </c>
      <c r="N197" s="140"/>
      <c r="O197" s="195"/>
      <c r="U197" s="117"/>
    </row>
    <row r="198" spans="1:257" ht="24" customHeight="1" x14ac:dyDescent="0.25">
      <c r="A198" s="103" t="s">
        <v>308</v>
      </c>
      <c r="B198" s="205" t="s">
        <v>43</v>
      </c>
      <c r="C198" s="206"/>
      <c r="D198" s="206"/>
      <c r="E198" s="206"/>
      <c r="F198" s="206"/>
      <c r="G198" s="206"/>
      <c r="H198" s="207"/>
      <c r="I198" s="145"/>
      <c r="J198" s="142"/>
      <c r="K198" s="140"/>
      <c r="L198" s="142"/>
      <c r="M198" s="140"/>
      <c r="N198" s="142"/>
      <c r="O198" s="196"/>
    </row>
    <row r="199" spans="1:257" ht="24" customHeight="1" x14ac:dyDescent="0.25">
      <c r="A199" s="103" t="s">
        <v>309</v>
      </c>
      <c r="B199" s="205" t="s">
        <v>45</v>
      </c>
      <c r="C199" s="206"/>
      <c r="D199" s="206"/>
      <c r="E199" s="206"/>
      <c r="F199" s="206"/>
      <c r="G199" s="206"/>
      <c r="H199" s="206"/>
      <c r="I199" s="143">
        <v>2028</v>
      </c>
      <c r="J199" s="144">
        <f t="shared" si="15"/>
        <v>7663.01</v>
      </c>
      <c r="K199" s="137"/>
      <c r="L199" s="106">
        <v>6973.34</v>
      </c>
      <c r="M199" s="106">
        <v>689.67</v>
      </c>
      <c r="N199" s="137"/>
      <c r="O199" s="198"/>
    </row>
    <row r="200" spans="1:257" ht="126.75" customHeight="1" x14ac:dyDescent="0.35">
      <c r="A200" s="60" t="s">
        <v>310</v>
      </c>
      <c r="B200" s="61" t="s">
        <v>311</v>
      </c>
      <c r="C200" s="16">
        <v>48</v>
      </c>
      <c r="D200" s="16" t="s">
        <v>278</v>
      </c>
      <c r="E200" s="58" t="s">
        <v>312</v>
      </c>
      <c r="F200" s="18" t="s">
        <v>313</v>
      </c>
      <c r="G200" s="61" t="s">
        <v>314</v>
      </c>
      <c r="H200" s="61" t="s">
        <v>314</v>
      </c>
      <c r="I200" s="119">
        <v>2028</v>
      </c>
      <c r="J200" s="111">
        <f t="shared" si="15"/>
        <v>56967.01</v>
      </c>
      <c r="K200" s="140"/>
      <c r="L200" s="111">
        <v>52409.65</v>
      </c>
      <c r="M200" s="111">
        <v>4557.3599999999997</v>
      </c>
      <c r="N200" s="140"/>
      <c r="O200" s="195"/>
      <c r="U200" s="117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1"/>
      <c r="IJ200" s="1"/>
      <c r="IK200" s="1"/>
      <c r="IL200" s="1"/>
      <c r="IM200" s="1"/>
      <c r="IN200" s="1"/>
      <c r="IO200" s="1"/>
      <c r="IP200" s="1"/>
      <c r="IQ200" s="1"/>
      <c r="IR200" s="1"/>
      <c r="IS200" s="1"/>
      <c r="IT200" s="1"/>
      <c r="IU200" s="1"/>
      <c r="IV200" s="1"/>
      <c r="IW200" s="1"/>
    </row>
    <row r="201" spans="1:257" ht="24" customHeight="1" x14ac:dyDescent="0.25">
      <c r="A201" s="103" t="s">
        <v>315</v>
      </c>
      <c r="B201" s="205" t="s">
        <v>43</v>
      </c>
      <c r="C201" s="206"/>
      <c r="D201" s="206"/>
      <c r="E201" s="206"/>
      <c r="F201" s="206"/>
      <c r="G201" s="206"/>
      <c r="H201" s="207"/>
      <c r="I201" s="151"/>
      <c r="J201" s="142"/>
      <c r="K201" s="140"/>
      <c r="L201" s="113"/>
      <c r="M201" s="140"/>
      <c r="N201" s="142"/>
      <c r="O201" s="196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1"/>
      <c r="IJ201" s="1"/>
      <c r="IK201" s="1"/>
      <c r="IL201" s="1"/>
      <c r="IM201" s="1"/>
      <c r="IN201" s="1"/>
      <c r="IO201" s="1"/>
      <c r="IP201" s="1"/>
      <c r="IQ201" s="1"/>
      <c r="IR201" s="1"/>
      <c r="IS201" s="1"/>
      <c r="IT201" s="1"/>
      <c r="IU201" s="1"/>
      <c r="IV201" s="1"/>
      <c r="IW201" s="1"/>
    </row>
    <row r="202" spans="1:257" ht="24" customHeight="1" x14ac:dyDescent="0.25">
      <c r="A202" s="103" t="s">
        <v>316</v>
      </c>
      <c r="B202" s="205" t="s">
        <v>45</v>
      </c>
      <c r="C202" s="206"/>
      <c r="D202" s="206"/>
      <c r="E202" s="206"/>
      <c r="F202" s="206"/>
      <c r="G202" s="206"/>
      <c r="H202" s="207"/>
      <c r="I202" s="152">
        <v>2028</v>
      </c>
      <c r="J202" s="106">
        <f t="shared" si="15"/>
        <v>56967.01</v>
      </c>
      <c r="K202" s="137"/>
      <c r="L202" s="106">
        <v>52409.65</v>
      </c>
      <c r="M202" s="106">
        <v>4557.3599999999997</v>
      </c>
      <c r="N202" s="137"/>
      <c r="O202" s="198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1"/>
      <c r="IJ202" s="1"/>
      <c r="IK202" s="1"/>
      <c r="IL202" s="1"/>
      <c r="IM202" s="1"/>
      <c r="IN202" s="1"/>
      <c r="IO202" s="1"/>
      <c r="IP202" s="1"/>
      <c r="IQ202" s="1"/>
      <c r="IR202" s="1"/>
      <c r="IS202" s="1"/>
      <c r="IT202" s="1"/>
      <c r="IU202" s="1"/>
      <c r="IV202" s="1"/>
      <c r="IW202" s="1"/>
    </row>
    <row r="203" spans="1:257" s="89" customFormat="1" ht="28.5" customHeight="1" x14ac:dyDescent="0.25">
      <c r="A203" s="176"/>
      <c r="B203" s="180" t="s">
        <v>317</v>
      </c>
      <c r="C203" s="181"/>
      <c r="D203" s="181"/>
      <c r="E203" s="181"/>
      <c r="F203" s="181"/>
      <c r="G203" s="181"/>
      <c r="H203" s="182"/>
      <c r="I203" s="105">
        <v>2022</v>
      </c>
      <c r="J203" s="112">
        <f t="shared" si="15"/>
        <v>172435.01190999988</v>
      </c>
      <c r="K203" s="112"/>
      <c r="L203" s="112">
        <f>SUM(A1,L101,L110)</f>
        <v>156915.86083999989</v>
      </c>
      <c r="M203" s="112">
        <f>SUM(B1,M101,M110)</f>
        <v>15519.15107</v>
      </c>
      <c r="N203" s="112"/>
      <c r="O203" s="91"/>
    </row>
    <row r="204" spans="1:257" ht="24" customHeight="1" x14ac:dyDescent="0.25">
      <c r="A204" s="177"/>
      <c r="B204" s="183"/>
      <c r="C204" s="184"/>
      <c r="D204" s="184"/>
      <c r="E204" s="184"/>
      <c r="F204" s="184"/>
      <c r="G204" s="184"/>
      <c r="H204" s="185"/>
      <c r="I204" s="105">
        <v>2023</v>
      </c>
      <c r="J204" s="111">
        <f t="shared" ref="J204:J205" si="16">SUM(K204:M204)</f>
        <v>197696.96999999991</v>
      </c>
      <c r="K204" s="111"/>
      <c r="L204" s="111">
        <f>SUM(A1,L102,L111)</f>
        <v>178718.5499999999</v>
      </c>
      <c r="M204" s="111">
        <f>SUM(B1,M102,M111)</f>
        <v>18978.420000000009</v>
      </c>
      <c r="N204" s="112"/>
      <c r="O204" s="84"/>
    </row>
    <row r="205" spans="1:257" ht="24" customHeight="1" x14ac:dyDescent="0.25">
      <c r="A205" s="177"/>
      <c r="B205" s="183"/>
      <c r="C205" s="184"/>
      <c r="D205" s="184"/>
      <c r="E205" s="184"/>
      <c r="F205" s="184"/>
      <c r="G205" s="184"/>
      <c r="H205" s="185"/>
      <c r="I205" s="105">
        <v>2024</v>
      </c>
      <c r="J205" s="111">
        <f t="shared" si="16"/>
        <v>370898.20684999996</v>
      </c>
      <c r="K205" s="111"/>
      <c r="L205" s="111">
        <f t="shared" ref="L205:L206" si="17">SUM(L103,L112,L119,L126)</f>
        <v>332001.85684999998</v>
      </c>
      <c r="M205" s="111">
        <f t="shared" ref="M205:M206" si="18">SUM(M103,M112,M119,M126)</f>
        <v>38896.35</v>
      </c>
      <c r="N205" s="112"/>
      <c r="O205" s="84"/>
    </row>
    <row r="206" spans="1:257" ht="22.9" customHeight="1" x14ac:dyDescent="0.25">
      <c r="A206" s="177"/>
      <c r="B206" s="183"/>
      <c r="C206" s="184"/>
      <c r="D206" s="184"/>
      <c r="E206" s="184"/>
      <c r="F206" s="184"/>
      <c r="G206" s="184"/>
      <c r="H206" s="185"/>
      <c r="I206" s="105">
        <v>2025</v>
      </c>
      <c r="J206" s="111">
        <f>SUM(L206:M206)</f>
        <v>476701.75500999991</v>
      </c>
      <c r="K206" s="111"/>
      <c r="L206" s="111">
        <f t="shared" si="17"/>
        <v>429259.88658999989</v>
      </c>
      <c r="M206" s="111">
        <f t="shared" si="18"/>
        <v>47441.868419999999</v>
      </c>
      <c r="N206" s="112"/>
      <c r="O206" s="153"/>
      <c r="P206" s="153" t="e">
        <f>SUM(M104,#REF!,#REF!,#REF!,M120,#REF!,#REF!,M127,#REF!,#REF!,#REF!,#REF!,#REF!,#REF!,#REF!,#REF!)</f>
        <v>#REF!</v>
      </c>
      <c r="Q206" s="153" t="e">
        <f>SUM(N104,#REF!,#REF!,#REF!,N120,#REF!,#REF!,N127,#REF!,#REF!,#REF!,#REF!,#REF!,#REF!,#REF!,#REF!)</f>
        <v>#REF!</v>
      </c>
      <c r="R206" s="153" t="e">
        <f>SUM(O104,#REF!,#REF!,#REF!,O120,#REF!,#REF!,O127,#REF!,#REF!,#REF!,#REF!,#REF!,#REF!,#REF!,#REF!)</f>
        <v>#REF!</v>
      </c>
      <c r="S206" s="153" t="e">
        <f>SUM(P104,#REF!,#REF!,#REF!,P120,#REF!,#REF!,P127,#REF!,#REF!,#REF!,#REF!,#REF!,#REF!,#REF!,#REF!)</f>
        <v>#REF!</v>
      </c>
      <c r="T206" s="153" t="e">
        <f>SUM(Q104,#REF!,#REF!,#REF!,Q120,#REF!,#REF!,Q127,#REF!,#REF!,#REF!,#REF!,#REF!,#REF!,#REF!,#REF!)</f>
        <v>#REF!</v>
      </c>
      <c r="U206" s="153"/>
    </row>
    <row r="207" spans="1:257" s="120" customFormat="1" ht="24" customHeight="1" x14ac:dyDescent="0.25">
      <c r="A207" s="178"/>
      <c r="B207" s="186"/>
      <c r="C207" s="187"/>
      <c r="D207" s="187"/>
      <c r="E207" s="187"/>
      <c r="F207" s="187"/>
      <c r="G207" s="187"/>
      <c r="H207" s="188"/>
      <c r="I207" s="154">
        <v>2026</v>
      </c>
      <c r="J207" s="155">
        <f t="shared" ref="J207:J212" si="19">SUM(K207:N207)</f>
        <v>375050.44560000004</v>
      </c>
      <c r="K207" s="155">
        <f>K145</f>
        <v>13995.4</v>
      </c>
      <c r="L207" s="155">
        <f>SUM(A1,L121,L128,L133,L136,L139,L142,L145,L148,L151,L154,L157,L162,L165,L180)</f>
        <v>325381.8456</v>
      </c>
      <c r="M207" s="155">
        <f>SUM(B1,M121,M128,M133,M136,M139,M142,M145,M148,M151,M154,M157,M162,M165,M180)</f>
        <v>35673.200000000004</v>
      </c>
      <c r="N207" s="156"/>
      <c r="O207" s="157"/>
      <c r="P207" s="130"/>
      <c r="Q207" s="130"/>
      <c r="R207" s="130"/>
      <c r="S207" s="130"/>
      <c r="T207" s="130"/>
    </row>
    <row r="208" spans="1:257" ht="24" customHeight="1" x14ac:dyDescent="0.25">
      <c r="A208" s="177"/>
      <c r="B208" s="183"/>
      <c r="C208" s="184"/>
      <c r="D208" s="184"/>
      <c r="E208" s="184"/>
      <c r="F208" s="184"/>
      <c r="G208" s="184"/>
      <c r="H208" s="185"/>
      <c r="I208" s="105">
        <v>2027</v>
      </c>
      <c r="J208" s="111">
        <f t="shared" si="19"/>
        <v>269780.9375</v>
      </c>
      <c r="K208" s="111"/>
      <c r="L208" s="111">
        <f>SUM(A1,L158,L168,L171,L174,L177,L181)</f>
        <v>247112.38750000001</v>
      </c>
      <c r="M208" s="111">
        <f>SUM(B1,M158,M168,M171,M174,M177,M181)</f>
        <v>22668.55</v>
      </c>
      <c r="N208" s="112"/>
      <c r="O208" s="84"/>
    </row>
    <row r="209" spans="1:257" ht="24" customHeight="1" x14ac:dyDescent="0.25">
      <c r="A209" s="177"/>
      <c r="B209" s="183"/>
      <c r="C209" s="184"/>
      <c r="D209" s="184"/>
      <c r="E209" s="184"/>
      <c r="F209" s="184"/>
      <c r="G209" s="184"/>
      <c r="H209" s="185"/>
      <c r="I209" s="105">
        <v>2028</v>
      </c>
      <c r="J209" s="111">
        <f t="shared" si="19"/>
        <v>270581.62</v>
      </c>
      <c r="K209" s="111"/>
      <c r="L209" s="111">
        <f>SUM(A1,L185,L188,L191,L194,L197,L200)</f>
        <v>244097.21999999997</v>
      </c>
      <c r="M209" s="111">
        <f>SUM(B1,M185,M188,M191,M194,M197,M200)</f>
        <v>26484.399999999998</v>
      </c>
      <c r="N209" s="112"/>
      <c r="O209" s="84"/>
    </row>
    <row r="210" spans="1:257" ht="24" customHeight="1" x14ac:dyDescent="0.25">
      <c r="A210" s="177"/>
      <c r="B210" s="183"/>
      <c r="C210" s="184"/>
      <c r="D210" s="184"/>
      <c r="E210" s="184"/>
      <c r="F210" s="184"/>
      <c r="G210" s="184"/>
      <c r="H210" s="185"/>
      <c r="I210" s="105">
        <v>2029</v>
      </c>
      <c r="J210" s="111">
        <f t="shared" si="19"/>
        <v>274124.82</v>
      </c>
      <c r="K210" s="111"/>
      <c r="L210" s="111">
        <v>244097.22</v>
      </c>
      <c r="M210" s="111">
        <v>30027.599999999999</v>
      </c>
      <c r="N210" s="112"/>
      <c r="O210" s="84"/>
    </row>
    <row r="211" spans="1:257" ht="24" customHeight="1" x14ac:dyDescent="0.25">
      <c r="A211" s="179"/>
      <c r="B211" s="189"/>
      <c r="C211" s="190"/>
      <c r="D211" s="190"/>
      <c r="E211" s="190"/>
      <c r="F211" s="190"/>
      <c r="G211" s="190"/>
      <c r="H211" s="191"/>
      <c r="I211" s="105">
        <v>2030</v>
      </c>
      <c r="J211" s="111">
        <f t="shared" si="19"/>
        <v>274124.82</v>
      </c>
      <c r="K211" s="111"/>
      <c r="L211" s="111">
        <v>244097.22</v>
      </c>
      <c r="M211" s="111">
        <v>30027.599999999999</v>
      </c>
      <c r="N211" s="112"/>
      <c r="O211" s="84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  <c r="HW211" s="1"/>
      <c r="HX211" s="1"/>
      <c r="HY211" s="1"/>
      <c r="HZ211" s="1"/>
      <c r="IA211" s="1"/>
      <c r="IB211" s="1"/>
      <c r="IC211" s="1"/>
      <c r="ID211" s="1"/>
      <c r="IE211" s="1"/>
      <c r="IF211" s="1"/>
      <c r="IG211" s="1"/>
      <c r="IH211" s="1"/>
      <c r="II211" s="1"/>
      <c r="IJ211" s="1"/>
      <c r="IK211" s="1"/>
      <c r="IL211" s="1"/>
      <c r="IM211" s="1"/>
      <c r="IN211" s="1"/>
      <c r="IO211" s="1"/>
      <c r="IP211" s="1"/>
      <c r="IQ211" s="1"/>
      <c r="IR211" s="1"/>
      <c r="IS211" s="1"/>
      <c r="IT211" s="1"/>
      <c r="IU211" s="1"/>
      <c r="IV211" s="1"/>
      <c r="IW211" s="1"/>
    </row>
    <row r="212" spans="1:257" s="120" customFormat="1" ht="42" customHeight="1" x14ac:dyDescent="0.25">
      <c r="A212" s="158"/>
      <c r="B212" s="192" t="s">
        <v>318</v>
      </c>
      <c r="C212" s="193"/>
      <c r="D212" s="193"/>
      <c r="E212" s="193"/>
      <c r="F212" s="193"/>
      <c r="G212" s="193"/>
      <c r="H212" s="194"/>
      <c r="I212" s="125" t="s">
        <v>319</v>
      </c>
      <c r="J212" s="155">
        <f t="shared" si="19"/>
        <v>2681394.5868699998</v>
      </c>
      <c r="K212" s="159">
        <f>SUM(K207:K211)</f>
        <v>13995.4</v>
      </c>
      <c r="L212" s="159">
        <f>SUM(L203:L211)</f>
        <v>2401682.0473799999</v>
      </c>
      <c r="M212" s="159">
        <f>SUM(M203:M211)</f>
        <v>265717.13948999997</v>
      </c>
      <c r="N212" s="156"/>
      <c r="O212" s="157"/>
      <c r="P212" s="130"/>
      <c r="Q212" s="130"/>
      <c r="R212" s="130"/>
      <c r="S212" s="130"/>
      <c r="T212" s="130"/>
    </row>
    <row r="213" spans="1:257" s="3" customFormat="1" ht="18.75" customHeight="1" x14ac:dyDescent="0.25">
      <c r="A213" s="195"/>
      <c r="B213" s="180" t="s">
        <v>320</v>
      </c>
      <c r="C213" s="181"/>
      <c r="D213" s="181"/>
      <c r="E213" s="181"/>
      <c r="F213" s="181"/>
      <c r="G213" s="181"/>
      <c r="H213" s="182"/>
      <c r="I213" s="160">
        <v>2022</v>
      </c>
      <c r="J213" s="161">
        <f t="shared" ref="J213:J215" si="20">SUM(J82,J97,J203)</f>
        <v>788915.84318999876</v>
      </c>
      <c r="K213" s="161"/>
      <c r="L213" s="161">
        <f>SUM(L82,L203)</f>
        <v>373430.45083999983</v>
      </c>
      <c r="M213" s="161">
        <f>SUM(M82,M203)</f>
        <v>136453.54106999992</v>
      </c>
      <c r="N213" s="161"/>
      <c r="O213" s="162"/>
    </row>
    <row r="214" spans="1:257" s="3" customFormat="1" ht="18.75" customHeight="1" x14ac:dyDescent="0.25">
      <c r="A214" s="196"/>
      <c r="B214" s="183"/>
      <c r="C214" s="184"/>
      <c r="D214" s="184"/>
      <c r="E214" s="184"/>
      <c r="F214" s="184"/>
      <c r="G214" s="184"/>
      <c r="H214" s="185"/>
      <c r="I214" s="160">
        <v>2023</v>
      </c>
      <c r="J214" s="161">
        <f t="shared" si="20"/>
        <v>593708.95999999973</v>
      </c>
      <c r="K214" s="161"/>
      <c r="L214" s="161">
        <f>SUM(L83,L97,L204)</f>
        <v>540388.52127999882</v>
      </c>
      <c r="M214" s="161">
        <f>SUM(M83,M97,M204)</f>
        <v>53320.44</v>
      </c>
      <c r="N214" s="161"/>
      <c r="O214" s="162"/>
    </row>
    <row r="215" spans="1:257" s="3" customFormat="1" ht="18.75" customHeight="1" x14ac:dyDescent="0.25">
      <c r="A215" s="196"/>
      <c r="B215" s="183"/>
      <c r="C215" s="184"/>
      <c r="D215" s="184"/>
      <c r="E215" s="184"/>
      <c r="F215" s="184"/>
      <c r="G215" s="184"/>
      <c r="H215" s="185"/>
      <c r="I215" s="160">
        <v>2024</v>
      </c>
      <c r="J215" s="161">
        <f t="shared" si="20"/>
        <v>1870928.8494343471</v>
      </c>
      <c r="K215" s="161"/>
      <c r="L215" s="153">
        <f>SUM(A1,L84,L98,L205)</f>
        <v>1333040.4968500007</v>
      </c>
      <c r="M215" s="153">
        <f>SUM(B1,M84,M98,M205)</f>
        <v>258856.50130434765</v>
      </c>
      <c r="N215" s="161"/>
      <c r="O215" s="162"/>
    </row>
    <row r="216" spans="1:257" s="3" customFormat="1" ht="18.75" customHeight="1" x14ac:dyDescent="0.25">
      <c r="A216" s="196"/>
      <c r="B216" s="183"/>
      <c r="C216" s="184"/>
      <c r="D216" s="184"/>
      <c r="E216" s="184"/>
      <c r="F216" s="184"/>
      <c r="G216" s="184"/>
      <c r="H216" s="185"/>
      <c r="I216" s="160">
        <v>2025</v>
      </c>
      <c r="J216" s="161">
        <f t="shared" ref="J216:J221" si="21">SUM(K216:M216)</f>
        <v>1961284.0450099998</v>
      </c>
      <c r="K216" s="161"/>
      <c r="L216" s="161">
        <f>SUM(A1,L85,L206)</f>
        <v>1782031.3265899997</v>
      </c>
      <c r="M216" s="161">
        <f>SUM(B1,M85,M206)</f>
        <v>179252.71841999999</v>
      </c>
      <c r="N216" s="161"/>
      <c r="O216" s="162"/>
    </row>
    <row r="217" spans="1:257" s="163" customFormat="1" ht="18.75" x14ac:dyDescent="0.25">
      <c r="A217" s="197"/>
      <c r="B217" s="199"/>
      <c r="C217" s="200"/>
      <c r="D217" s="200"/>
      <c r="E217" s="200"/>
      <c r="F217" s="200"/>
      <c r="G217" s="200"/>
      <c r="H217" s="201"/>
      <c r="I217" s="164">
        <v>2026</v>
      </c>
      <c r="J217" s="165">
        <f t="shared" si="21"/>
        <v>1398481.9406000001</v>
      </c>
      <c r="K217" s="165">
        <f>SUM(A1,K86,K145)</f>
        <v>205407.6</v>
      </c>
      <c r="L217" s="165">
        <f>SUM(A1,L86,L207)</f>
        <v>1082743.7786000001</v>
      </c>
      <c r="M217" s="165">
        <f>SUM(B1,M86,M207)</f>
        <v>110330.56200000001</v>
      </c>
      <c r="N217" s="165"/>
      <c r="O217" s="166"/>
    </row>
    <row r="218" spans="1:257" s="3" customFormat="1" ht="25.5" customHeight="1" x14ac:dyDescent="0.25">
      <c r="A218" s="196"/>
      <c r="B218" s="183"/>
      <c r="C218" s="184"/>
      <c r="D218" s="184"/>
      <c r="E218" s="184"/>
      <c r="F218" s="184"/>
      <c r="G218" s="184"/>
      <c r="H218" s="185"/>
      <c r="I218" s="160">
        <v>2027</v>
      </c>
      <c r="J218" s="161">
        <f t="shared" si="21"/>
        <v>425109.14750000002</v>
      </c>
      <c r="K218" s="161"/>
      <c r="L218" s="161">
        <f t="shared" ref="L218:L221" si="22">SUM(L87,L208)</f>
        <v>390013.9375</v>
      </c>
      <c r="M218" s="161">
        <f t="shared" ref="M218:M221" si="23">SUM(M87,M208)</f>
        <v>35095.21</v>
      </c>
      <c r="N218" s="161"/>
      <c r="O218" s="162"/>
    </row>
    <row r="219" spans="1:257" s="3" customFormat="1" ht="25.5" customHeight="1" x14ac:dyDescent="0.25">
      <c r="A219" s="196"/>
      <c r="B219" s="183"/>
      <c r="C219" s="184"/>
      <c r="D219" s="184"/>
      <c r="E219" s="184"/>
      <c r="F219" s="184"/>
      <c r="G219" s="184"/>
      <c r="H219" s="185"/>
      <c r="I219" s="160">
        <v>2028</v>
      </c>
      <c r="J219" s="161">
        <f t="shared" si="21"/>
        <v>270581.62</v>
      </c>
      <c r="K219" s="161"/>
      <c r="L219" s="161">
        <f t="shared" si="22"/>
        <v>244097.21999999997</v>
      </c>
      <c r="M219" s="161">
        <f t="shared" si="23"/>
        <v>26484.399999999998</v>
      </c>
      <c r="N219" s="161"/>
      <c r="O219" s="162"/>
    </row>
    <row r="220" spans="1:257" s="3" customFormat="1" ht="25.5" customHeight="1" x14ac:dyDescent="0.25">
      <c r="A220" s="196"/>
      <c r="B220" s="183"/>
      <c r="C220" s="184"/>
      <c r="D220" s="184"/>
      <c r="E220" s="184"/>
      <c r="F220" s="184"/>
      <c r="G220" s="184"/>
      <c r="H220" s="185"/>
      <c r="I220" s="160">
        <v>2029</v>
      </c>
      <c r="J220" s="161">
        <f t="shared" si="21"/>
        <v>892124.82</v>
      </c>
      <c r="K220" s="161"/>
      <c r="L220" s="161">
        <f t="shared" si="22"/>
        <v>794097.22</v>
      </c>
      <c r="M220" s="161">
        <f t="shared" si="23"/>
        <v>98027.6</v>
      </c>
      <c r="N220" s="161"/>
      <c r="O220" s="162"/>
    </row>
    <row r="221" spans="1:257" s="3" customFormat="1" ht="25.5" customHeight="1" x14ac:dyDescent="0.25">
      <c r="A221" s="198"/>
      <c r="B221" s="189"/>
      <c r="C221" s="190"/>
      <c r="D221" s="190"/>
      <c r="E221" s="190"/>
      <c r="F221" s="190"/>
      <c r="G221" s="190"/>
      <c r="H221" s="191"/>
      <c r="I221" s="160">
        <v>2030</v>
      </c>
      <c r="J221" s="161">
        <f t="shared" si="21"/>
        <v>892124.82</v>
      </c>
      <c r="K221" s="161"/>
      <c r="L221" s="161">
        <f t="shared" si="22"/>
        <v>794097.22</v>
      </c>
      <c r="M221" s="161">
        <f t="shared" si="23"/>
        <v>98027.6</v>
      </c>
      <c r="N221" s="161"/>
      <c r="O221" s="162"/>
    </row>
    <row r="222" spans="1:257" s="163" customFormat="1" ht="38.25" customHeight="1" x14ac:dyDescent="0.25">
      <c r="A222" s="167"/>
      <c r="B222" s="202" t="s">
        <v>321</v>
      </c>
      <c r="C222" s="203"/>
      <c r="D222" s="203"/>
      <c r="E222" s="203"/>
      <c r="F222" s="203"/>
      <c r="G222" s="203"/>
      <c r="H222" s="204"/>
      <c r="I222" s="168" t="s">
        <v>322</v>
      </c>
      <c r="J222" s="165">
        <f>SUM(J213:J221)</f>
        <v>9093260.0457343459</v>
      </c>
      <c r="K222" s="165">
        <f>SUM(K213:K221)</f>
        <v>205407.6</v>
      </c>
      <c r="L222" s="165">
        <f>SUM(L213:L221)</f>
        <v>7333940.1716599986</v>
      </c>
      <c r="M222" s="165">
        <f>SUM(M213:M221)</f>
        <v>995848.57279434754</v>
      </c>
      <c r="N222" s="165"/>
      <c r="O222" s="166"/>
    </row>
    <row r="223" spans="1:257" s="3" customFormat="1" ht="19.5" customHeight="1" x14ac:dyDescent="0.25">
      <c r="A223" s="86"/>
      <c r="B223" s="169"/>
      <c r="C223" s="86"/>
      <c r="D223" s="170"/>
      <c r="E223" s="31"/>
      <c r="F223" s="31"/>
      <c r="G223" s="31"/>
      <c r="H223" s="31"/>
      <c r="I223" s="170"/>
      <c r="J223" s="171"/>
      <c r="K223" s="171"/>
      <c r="L223" s="171"/>
      <c r="M223" s="171"/>
      <c r="N223" s="172"/>
      <c r="O223" s="169"/>
    </row>
    <row r="224" spans="1:257" ht="24.4" customHeight="1" x14ac:dyDescent="0.25">
      <c r="A224" s="170"/>
      <c r="B224" s="184"/>
      <c r="C224" s="184"/>
      <c r="D224" s="184"/>
      <c r="E224" s="31"/>
      <c r="F224" s="31"/>
      <c r="G224" s="31"/>
      <c r="H224" s="31"/>
      <c r="I224" s="173"/>
      <c r="J224" s="174"/>
      <c r="K224" s="174"/>
      <c r="L224" s="174"/>
      <c r="M224" s="174"/>
      <c r="N224" s="169"/>
      <c r="O224" s="169"/>
    </row>
    <row r="225" spans="10:13" ht="18.75" x14ac:dyDescent="0.25">
      <c r="J225" s="175"/>
      <c r="K225" s="175"/>
      <c r="L225" s="175"/>
      <c r="M225" s="175"/>
    </row>
    <row r="226" spans="10:13" ht="18.75" x14ac:dyDescent="0.25">
      <c r="J226" s="175"/>
      <c r="K226" s="175"/>
      <c r="L226" s="175"/>
      <c r="M226" s="175"/>
    </row>
    <row r="227" spans="10:13" ht="18.75" x14ac:dyDescent="0.25">
      <c r="J227" s="175"/>
      <c r="K227" s="175"/>
      <c r="L227" s="175"/>
      <c r="M227" s="175"/>
    </row>
    <row r="228" spans="10:13" ht="18.75" x14ac:dyDescent="0.25">
      <c r="J228" s="175"/>
      <c r="K228" s="175"/>
      <c r="L228" s="175"/>
      <c r="M228" s="175"/>
    </row>
    <row r="229" spans="10:13" ht="18.75" x14ac:dyDescent="0.25">
      <c r="J229" s="175"/>
      <c r="K229" s="175"/>
      <c r="L229" s="175"/>
      <c r="M229" s="175"/>
    </row>
    <row r="230" spans="10:13" ht="18.75" x14ac:dyDescent="0.25">
      <c r="J230" s="175"/>
      <c r="K230" s="175"/>
      <c r="L230" s="175"/>
      <c r="M230" s="175"/>
    </row>
    <row r="231" spans="10:13" ht="18.75" x14ac:dyDescent="0.25">
      <c r="J231" s="175"/>
      <c r="K231" s="175"/>
      <c r="L231" s="175"/>
      <c r="M231" s="175"/>
    </row>
    <row r="232" spans="10:13" ht="18.75" x14ac:dyDescent="0.25">
      <c r="J232" s="175"/>
      <c r="K232" s="175"/>
      <c r="L232" s="175"/>
      <c r="M232" s="175"/>
    </row>
    <row r="233" spans="10:13" ht="18.75" x14ac:dyDescent="0.25">
      <c r="J233" s="175"/>
      <c r="K233" s="175"/>
      <c r="L233" s="175"/>
      <c r="M233" s="175"/>
    </row>
    <row r="234" spans="10:13" ht="18.75" x14ac:dyDescent="0.25">
      <c r="J234" s="175"/>
      <c r="K234" s="175"/>
      <c r="L234" s="175"/>
      <c r="M234" s="175"/>
    </row>
    <row r="235" spans="10:13" ht="18.75" x14ac:dyDescent="0.25">
      <c r="J235" s="175"/>
      <c r="K235" s="175"/>
      <c r="L235" s="175"/>
      <c r="M235" s="175"/>
    </row>
    <row r="236" spans="10:13" ht="18.75" x14ac:dyDescent="0.25">
      <c r="J236" s="175"/>
      <c r="K236" s="175"/>
      <c r="L236" s="175"/>
      <c r="M236" s="175"/>
    </row>
  </sheetData>
  <mergeCells count="278">
    <mergeCell ref="A8:O8"/>
    <mergeCell ref="A9:O9"/>
    <mergeCell ref="A10:O10"/>
    <mergeCell ref="A12:A13"/>
    <mergeCell ref="B12:B13"/>
    <mergeCell ref="C12:C13"/>
    <mergeCell ref="D12:D13"/>
    <mergeCell ref="E12:E13"/>
    <mergeCell ref="F12:F13"/>
    <mergeCell ref="G12:G13"/>
    <mergeCell ref="I12:I13"/>
    <mergeCell ref="J12:N12"/>
    <mergeCell ref="O12:O13"/>
    <mergeCell ref="A15:O15"/>
    <mergeCell ref="A16:A21"/>
    <mergeCell ref="B16:B21"/>
    <mergeCell ref="C16:C21"/>
    <mergeCell ref="D16:D21"/>
    <mergeCell ref="E16:E21"/>
    <mergeCell ref="F16:F21"/>
    <mergeCell ref="G16:G21"/>
    <mergeCell ref="H16:H21"/>
    <mergeCell ref="O16:O28"/>
    <mergeCell ref="B22:H22"/>
    <mergeCell ref="A23:A26"/>
    <mergeCell ref="B23:H28"/>
    <mergeCell ref="A29:A33"/>
    <mergeCell ref="B29:B33"/>
    <mergeCell ref="C29:C33"/>
    <mergeCell ref="D29:D33"/>
    <mergeCell ref="E29:E33"/>
    <mergeCell ref="F29:F33"/>
    <mergeCell ref="G29:G33"/>
    <mergeCell ref="H29:H33"/>
    <mergeCell ref="O29:O39"/>
    <mergeCell ref="B34:H34"/>
    <mergeCell ref="A35:A39"/>
    <mergeCell ref="B35:H39"/>
    <mergeCell ref="A40:A43"/>
    <mergeCell ref="B40:B43"/>
    <mergeCell ref="C40:C43"/>
    <mergeCell ref="D40:D43"/>
    <mergeCell ref="E40:E43"/>
    <mergeCell ref="F40:F43"/>
    <mergeCell ref="G40:G43"/>
    <mergeCell ref="H40:H43"/>
    <mergeCell ref="O40:O48"/>
    <mergeCell ref="A44:A45"/>
    <mergeCell ref="B44:H45"/>
    <mergeCell ref="A46:A48"/>
    <mergeCell ref="B46:H48"/>
    <mergeCell ref="A49:A51"/>
    <mergeCell ref="B49:B51"/>
    <mergeCell ref="C49:C51"/>
    <mergeCell ref="D49:D51"/>
    <mergeCell ref="E49:E51"/>
    <mergeCell ref="F49:F51"/>
    <mergeCell ref="G49:G51"/>
    <mergeCell ref="H49:H51"/>
    <mergeCell ref="O49:O55"/>
    <mergeCell ref="B52:H52"/>
    <mergeCell ref="A53:A55"/>
    <mergeCell ref="A56:A57"/>
    <mergeCell ref="B56:B57"/>
    <mergeCell ref="C56:C57"/>
    <mergeCell ref="D56:D57"/>
    <mergeCell ref="E56:E57"/>
    <mergeCell ref="F56:F57"/>
    <mergeCell ref="G56:G57"/>
    <mergeCell ref="H56:H57"/>
    <mergeCell ref="O56:O60"/>
    <mergeCell ref="B58:H58"/>
    <mergeCell ref="A59:A60"/>
    <mergeCell ref="B59:H60"/>
    <mergeCell ref="A61:A63"/>
    <mergeCell ref="B61:B63"/>
    <mergeCell ref="C61:C63"/>
    <mergeCell ref="D61:D63"/>
    <mergeCell ref="E61:E63"/>
    <mergeCell ref="F61:F63"/>
    <mergeCell ref="G61:G63"/>
    <mergeCell ref="H61:H63"/>
    <mergeCell ref="O61:O67"/>
    <mergeCell ref="B64:H64"/>
    <mergeCell ref="A65:A67"/>
    <mergeCell ref="A68:A69"/>
    <mergeCell ref="B68:B69"/>
    <mergeCell ref="C68:C69"/>
    <mergeCell ref="D68:D69"/>
    <mergeCell ref="E68:E69"/>
    <mergeCell ref="F68:F69"/>
    <mergeCell ref="G68:G69"/>
    <mergeCell ref="H68:H69"/>
    <mergeCell ref="O68:O72"/>
    <mergeCell ref="B70:H70"/>
    <mergeCell ref="A71:A72"/>
    <mergeCell ref="B71:H72"/>
    <mergeCell ref="A73:A76"/>
    <mergeCell ref="B73:B76"/>
    <mergeCell ref="C73:C76"/>
    <mergeCell ref="D73:D76"/>
    <mergeCell ref="E73:E76"/>
    <mergeCell ref="F73:F76"/>
    <mergeCell ref="G73:G76"/>
    <mergeCell ref="H73:H76"/>
    <mergeCell ref="O73:O76"/>
    <mergeCell ref="I74:I76"/>
    <mergeCell ref="J74:J76"/>
    <mergeCell ref="K74:K76"/>
    <mergeCell ref="L74:L76"/>
    <mergeCell ref="M74:M76"/>
    <mergeCell ref="N74:N76"/>
    <mergeCell ref="O77:O79"/>
    <mergeCell ref="B78:H78"/>
    <mergeCell ref="A80:A81"/>
    <mergeCell ref="B80:H81"/>
    <mergeCell ref="A82:A90"/>
    <mergeCell ref="B82:H90"/>
    <mergeCell ref="B91:H91"/>
    <mergeCell ref="A92:O92"/>
    <mergeCell ref="A93:A96"/>
    <mergeCell ref="B93:B96"/>
    <mergeCell ref="C93:C96"/>
    <mergeCell ref="D93:D96"/>
    <mergeCell ref="E93:E96"/>
    <mergeCell ref="F93:F96"/>
    <mergeCell ref="G93:G96"/>
    <mergeCell ref="H93:H96"/>
    <mergeCell ref="O93:O96"/>
    <mergeCell ref="I94:I96"/>
    <mergeCell ref="J94:J96"/>
    <mergeCell ref="K94:K96"/>
    <mergeCell ref="L94:L96"/>
    <mergeCell ref="M94:M96"/>
    <mergeCell ref="N94:N96"/>
    <mergeCell ref="A97:A98"/>
    <mergeCell ref="B97:H98"/>
    <mergeCell ref="B99:H99"/>
    <mergeCell ref="A100:O100"/>
    <mergeCell ref="A101:A104"/>
    <mergeCell ref="B101:B104"/>
    <mergeCell ref="C101:C104"/>
    <mergeCell ref="D101:D104"/>
    <mergeCell ref="E101:E104"/>
    <mergeCell ref="F101:F104"/>
    <mergeCell ref="G101:G104"/>
    <mergeCell ref="H101:H104"/>
    <mergeCell ref="O101:O109"/>
    <mergeCell ref="B105:H105"/>
    <mergeCell ref="A106:A109"/>
    <mergeCell ref="B106:H109"/>
    <mergeCell ref="A110:A113"/>
    <mergeCell ref="B110:B113"/>
    <mergeCell ref="C110:C113"/>
    <mergeCell ref="D110:D113"/>
    <mergeCell ref="E110:E113"/>
    <mergeCell ref="F110:F113"/>
    <mergeCell ref="G110:G113"/>
    <mergeCell ref="H110:H113"/>
    <mergeCell ref="O110:O118"/>
    <mergeCell ref="B114:H114"/>
    <mergeCell ref="A115:A118"/>
    <mergeCell ref="B115:H118"/>
    <mergeCell ref="A119:A121"/>
    <mergeCell ref="B119:B121"/>
    <mergeCell ref="C119:C121"/>
    <mergeCell ref="D119:D121"/>
    <mergeCell ref="E119:E121"/>
    <mergeCell ref="F119:F121"/>
    <mergeCell ref="G119:G121"/>
    <mergeCell ref="H119:H121"/>
    <mergeCell ref="O119:O125"/>
    <mergeCell ref="B122:H122"/>
    <mergeCell ref="A123:A125"/>
    <mergeCell ref="B123:H125"/>
    <mergeCell ref="A126:A128"/>
    <mergeCell ref="B126:B128"/>
    <mergeCell ref="C126:C128"/>
    <mergeCell ref="D126:D128"/>
    <mergeCell ref="E126:E128"/>
    <mergeCell ref="F126:F128"/>
    <mergeCell ref="G126:G128"/>
    <mergeCell ref="H126:H128"/>
    <mergeCell ref="O126:O132"/>
    <mergeCell ref="B129:H129"/>
    <mergeCell ref="A130:A132"/>
    <mergeCell ref="B130:H132"/>
    <mergeCell ref="O133:O135"/>
    <mergeCell ref="B134:H134"/>
    <mergeCell ref="B135:H135"/>
    <mergeCell ref="O136:O138"/>
    <mergeCell ref="B137:H137"/>
    <mergeCell ref="B138:H138"/>
    <mergeCell ref="O139:O141"/>
    <mergeCell ref="B140:H140"/>
    <mergeCell ref="B141:H141"/>
    <mergeCell ref="O142:O144"/>
    <mergeCell ref="B143:H143"/>
    <mergeCell ref="B144:H144"/>
    <mergeCell ref="O145:O147"/>
    <mergeCell ref="B146:H146"/>
    <mergeCell ref="B147:H147"/>
    <mergeCell ref="O148:O150"/>
    <mergeCell ref="B149:H149"/>
    <mergeCell ref="B150:H150"/>
    <mergeCell ref="O151:O153"/>
    <mergeCell ref="B152:H152"/>
    <mergeCell ref="B153:H153"/>
    <mergeCell ref="O154:O156"/>
    <mergeCell ref="B155:H155"/>
    <mergeCell ref="B156:H156"/>
    <mergeCell ref="A157:A158"/>
    <mergeCell ref="B157:B158"/>
    <mergeCell ref="C157:C158"/>
    <mergeCell ref="D157:D158"/>
    <mergeCell ref="E157:E158"/>
    <mergeCell ref="F157:F158"/>
    <mergeCell ref="G157:G158"/>
    <mergeCell ref="H157:H158"/>
    <mergeCell ref="O157:O160"/>
    <mergeCell ref="B159:H159"/>
    <mergeCell ref="A160:A161"/>
    <mergeCell ref="B160:H161"/>
    <mergeCell ref="O162:O164"/>
    <mergeCell ref="B163:H163"/>
    <mergeCell ref="B164:H164"/>
    <mergeCell ref="O165:O167"/>
    <mergeCell ref="B166:H166"/>
    <mergeCell ref="B167:H167"/>
    <mergeCell ref="O168:O170"/>
    <mergeCell ref="B169:H169"/>
    <mergeCell ref="B170:H170"/>
    <mergeCell ref="O171:O173"/>
    <mergeCell ref="B172:H172"/>
    <mergeCell ref="B173:H173"/>
    <mergeCell ref="O174:O176"/>
    <mergeCell ref="B175:H175"/>
    <mergeCell ref="B176:H176"/>
    <mergeCell ref="O177:O179"/>
    <mergeCell ref="B178:H178"/>
    <mergeCell ref="B179:H179"/>
    <mergeCell ref="A180:A181"/>
    <mergeCell ref="B180:B181"/>
    <mergeCell ref="C180:C181"/>
    <mergeCell ref="D180:D181"/>
    <mergeCell ref="E180:E181"/>
    <mergeCell ref="F180:F181"/>
    <mergeCell ref="G180:G181"/>
    <mergeCell ref="H180:H181"/>
    <mergeCell ref="O180:O184"/>
    <mergeCell ref="B182:H182"/>
    <mergeCell ref="A183:A184"/>
    <mergeCell ref="B183:H184"/>
    <mergeCell ref="O185:O187"/>
    <mergeCell ref="B186:H186"/>
    <mergeCell ref="B187:H187"/>
    <mergeCell ref="O188:O190"/>
    <mergeCell ref="B189:H189"/>
    <mergeCell ref="B190:H190"/>
    <mergeCell ref="O191:O193"/>
    <mergeCell ref="B192:H192"/>
    <mergeCell ref="B193:H193"/>
    <mergeCell ref="A203:A211"/>
    <mergeCell ref="B203:H211"/>
    <mergeCell ref="B212:H212"/>
    <mergeCell ref="A213:A221"/>
    <mergeCell ref="B213:H221"/>
    <mergeCell ref="B222:H222"/>
    <mergeCell ref="B224:D224"/>
    <mergeCell ref="O194:O196"/>
    <mergeCell ref="B195:H195"/>
    <mergeCell ref="B196:H196"/>
    <mergeCell ref="O197:O199"/>
    <mergeCell ref="B198:H198"/>
    <mergeCell ref="B199:H199"/>
    <mergeCell ref="O200:O202"/>
    <mergeCell ref="B201:H201"/>
    <mergeCell ref="B202:H202"/>
  </mergeCells>
  <hyperlinks>
    <hyperlink ref="B162" r:id="rId1"/>
  </hyperlinks>
  <pageMargins left="0.23622000000000001" right="0.23622000000000001" top="0.94488199999999978" bottom="0.35433099999999995" header="0.31496099999999999" footer="0.31496099999999999"/>
  <pageSetup paperSize="9" scale="10" orientation="landscape" r:id="rId2"/>
  <headerFooter>
    <oddHeader>&amp;C&amp;P&amp;R206005/206005-2018-2739(1)</oddHeader>
  </headerFooter>
  <rowBreaks count="2" manualBreakCount="2">
    <brk id="222" max="256" man="1"/>
    <brk id="202" max="25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2020</vt:lpstr>
      <vt:lpstr>'2020'!Область_печати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 Валерьевна Кавкаева</cp:lastModifiedBy>
  <cp:revision>28</cp:revision>
  <dcterms:created xsi:type="dcterms:W3CDTF">2015-08-27T11:54:00Z</dcterms:created>
  <dcterms:modified xsi:type="dcterms:W3CDTF">2026-09-02T14:17:49Z</dcterms:modified>
  <cp:version>917504</cp:version>
</cp:coreProperties>
</file>