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v_terehova\Documents\"/>
    </mc:Choice>
  </mc:AlternateContent>
  <bookViews>
    <workbookView xWindow="1223" yWindow="540" windowWidth="21263" windowHeight="9458" tabRatio="338"/>
  </bookViews>
  <sheets>
    <sheet name="Форма 2" sheetId="1" r:id="rId1"/>
  </sheets>
  <definedNames>
    <definedName name="BossProviderVariable?_914a79fd_57a8_46c8_9c73_c4b1634db109" hidden="1">"25_01_2006"</definedName>
    <definedName name="Print_Area" localSheetId="0">'Форма 2'!$A$1:$AC$143</definedName>
    <definedName name="Print_Titles" localSheetId="0">'Форма 2'!$5:$12</definedName>
  </definedNames>
  <calcPr calcId="152511"/>
</workbook>
</file>

<file path=xl/calcChain.xml><?xml version="1.0" encoding="utf-8"?>
<calcChain xmlns="http://schemas.openxmlformats.org/spreadsheetml/2006/main">
  <c r="Z108" i="1" l="1"/>
  <c r="X118" i="1"/>
  <c r="W118" i="1"/>
  <c r="X117" i="1"/>
  <c r="W117" i="1"/>
  <c r="G117" i="1"/>
  <c r="F117" i="1"/>
  <c r="X116" i="1"/>
  <c r="W116" i="1"/>
  <c r="X115" i="1"/>
  <c r="W115" i="1"/>
  <c r="X114" i="1"/>
  <c r="W114" i="1"/>
  <c r="X113" i="1"/>
  <c r="W113" i="1"/>
  <c r="G113" i="1"/>
  <c r="F113" i="1"/>
  <c r="X112" i="1"/>
  <c r="W112" i="1"/>
  <c r="T111" i="1"/>
  <c r="S111" i="1"/>
  <c r="X110" i="1"/>
  <c r="W110" i="1"/>
  <c r="X109" i="1"/>
  <c r="W109" i="1"/>
  <c r="G109" i="1"/>
  <c r="F109" i="1"/>
  <c r="T107" i="1"/>
  <c r="S107" i="1"/>
  <c r="T105" i="1"/>
  <c r="S105" i="1"/>
  <c r="X104" i="1"/>
  <c r="W104" i="1"/>
  <c r="X103" i="1"/>
  <c r="W103" i="1"/>
  <c r="G103" i="1"/>
  <c r="F103" i="1"/>
  <c r="X102" i="1"/>
  <c r="W102" i="1"/>
  <c r="X101" i="1"/>
  <c r="W101" i="1"/>
  <c r="X99" i="1"/>
  <c r="W99" i="1"/>
  <c r="G99" i="1"/>
  <c r="F99" i="1"/>
  <c r="X98" i="1"/>
  <c r="W98" i="1"/>
  <c r="X97" i="1"/>
  <c r="W97" i="1"/>
  <c r="F97" i="1"/>
  <c r="G97" i="1"/>
  <c r="X96" i="1"/>
  <c r="W96" i="1"/>
  <c r="X95" i="1"/>
  <c r="T95" i="1"/>
  <c r="S95" i="1"/>
  <c r="W95" i="1"/>
  <c r="T94" i="1"/>
  <c r="S94" i="1"/>
  <c r="Z94" i="1" s="1"/>
  <c r="X93" i="1"/>
  <c r="W93" i="1"/>
  <c r="AC136" i="1"/>
  <c r="AC132" i="1"/>
  <c r="AC129" i="1"/>
  <c r="AC128" i="1"/>
  <c r="AC143" i="1"/>
  <c r="AC142" i="1"/>
  <c r="AC141" i="1"/>
  <c r="AC138" i="1"/>
  <c r="AC135" i="1"/>
  <c r="AC134" i="1"/>
  <c r="AC133" i="1"/>
  <c r="AC131" i="1"/>
  <c r="AC125" i="1"/>
  <c r="AC130" i="1"/>
  <c r="AC126" i="1"/>
  <c r="G143" i="1"/>
  <c r="G141" i="1"/>
  <c r="G138" i="1"/>
  <c r="G125" i="1"/>
  <c r="AC123" i="1"/>
  <c r="G121" i="1"/>
  <c r="AC120" i="1"/>
  <c r="AC121" i="1"/>
  <c r="S121" i="1"/>
  <c r="Z95" i="1" l="1"/>
  <c r="G114" i="1"/>
  <c r="G110" i="1"/>
  <c r="AC51" i="1" l="1"/>
  <c r="W51" i="1"/>
  <c r="T68" i="1" l="1"/>
  <c r="O129" i="1" l="1"/>
  <c r="AC127" i="1"/>
  <c r="O63" i="1" l="1"/>
  <c r="O68" i="1"/>
  <c r="O142" i="1" l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2" i="1"/>
  <c r="T128" i="1"/>
  <c r="T131" i="1"/>
  <c r="T133" i="1"/>
  <c r="T134" i="1"/>
  <c r="T135" i="1"/>
  <c r="T136" i="1"/>
  <c r="T138" i="1"/>
  <c r="T141" i="1"/>
  <c r="T142" i="1"/>
  <c r="T143" i="1"/>
  <c r="T125" i="1"/>
  <c r="V127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25" i="1"/>
  <c r="X126" i="1"/>
  <c r="X128" i="1"/>
  <c r="X129" i="1"/>
  <c r="X130" i="1"/>
  <c r="X132" i="1"/>
  <c r="X137" i="1"/>
  <c r="X139" i="1"/>
  <c r="X140" i="1"/>
  <c r="O132" i="1"/>
  <c r="E132" i="1"/>
  <c r="N132" i="1" s="1"/>
  <c r="E127" i="1"/>
  <c r="N127" i="1" s="1"/>
  <c r="P142" i="1" l="1"/>
  <c r="D142" i="1" s="1"/>
  <c r="P132" i="1"/>
  <c r="D132" i="1" l="1"/>
  <c r="P140" i="1"/>
  <c r="O140" i="1"/>
  <c r="AC140" i="1" s="1"/>
  <c r="E140" i="1"/>
  <c r="N140" i="1" s="1"/>
  <c r="P139" i="1"/>
  <c r="O139" i="1"/>
  <c r="AC139" i="1" s="1"/>
  <c r="E139" i="1"/>
  <c r="N139" i="1" s="1"/>
  <c r="P137" i="1"/>
  <c r="O137" i="1"/>
  <c r="AC137" i="1" s="1"/>
  <c r="E137" i="1"/>
  <c r="N137" i="1" s="1"/>
  <c r="P135" i="1"/>
  <c r="O135" i="1"/>
  <c r="E135" i="1"/>
  <c r="N135" i="1" s="1"/>
  <c r="P134" i="1"/>
  <c r="O134" i="1"/>
  <c r="E134" i="1"/>
  <c r="N134" i="1" s="1"/>
  <c r="P126" i="1"/>
  <c r="D126" i="1" s="1"/>
  <c r="O126" i="1"/>
  <c r="E126" i="1"/>
  <c r="N126" i="1" s="1"/>
  <c r="D140" i="1" l="1"/>
  <c r="D139" i="1"/>
  <c r="D135" i="1"/>
  <c r="D134" i="1"/>
  <c r="D137" i="1"/>
  <c r="P143" i="1" l="1"/>
  <c r="O143" i="1"/>
  <c r="E143" i="1"/>
  <c r="N143" i="1" s="1"/>
  <c r="E142" i="1"/>
  <c r="N142" i="1" s="1"/>
  <c r="P141" i="1"/>
  <c r="O141" i="1"/>
  <c r="E141" i="1"/>
  <c r="N141" i="1" s="1"/>
  <c r="P138" i="1"/>
  <c r="O138" i="1"/>
  <c r="E138" i="1"/>
  <c r="N138" i="1" s="1"/>
  <c r="P136" i="1"/>
  <c r="O136" i="1"/>
  <c r="E136" i="1"/>
  <c r="N136" i="1" s="1"/>
  <c r="P133" i="1"/>
  <c r="O133" i="1"/>
  <c r="E133" i="1"/>
  <c r="N133" i="1" s="1"/>
  <c r="P131" i="1"/>
  <c r="O131" i="1"/>
  <c r="E131" i="1"/>
  <c r="N131" i="1" s="1"/>
  <c r="P130" i="1"/>
  <c r="O130" i="1"/>
  <c r="E130" i="1"/>
  <c r="N130" i="1" s="1"/>
  <c r="P129" i="1"/>
  <c r="E129" i="1"/>
  <c r="N129" i="1" s="1"/>
  <c r="P128" i="1"/>
  <c r="O128" i="1"/>
  <c r="E128" i="1"/>
  <c r="N128" i="1" s="1"/>
  <c r="P125" i="1"/>
  <c r="O125" i="1"/>
  <c r="E125" i="1"/>
  <c r="N125" i="1" s="1"/>
  <c r="D143" i="1" l="1"/>
  <c r="D141" i="1"/>
  <c r="D138" i="1"/>
  <c r="D136" i="1"/>
  <c r="D133" i="1"/>
  <c r="D131" i="1"/>
  <c r="D130" i="1"/>
  <c r="D129" i="1"/>
  <c r="D128" i="1"/>
  <c r="D125" i="1"/>
  <c r="P123" i="1"/>
  <c r="O123" i="1"/>
  <c r="E123" i="1"/>
  <c r="N123" i="1" s="1"/>
  <c r="P122" i="1"/>
  <c r="O122" i="1"/>
  <c r="Z122" i="1" s="1"/>
  <c r="E122" i="1"/>
  <c r="N122" i="1" s="1"/>
  <c r="P121" i="1"/>
  <c r="O121" i="1"/>
  <c r="E121" i="1"/>
  <c r="N121" i="1" s="1"/>
  <c r="P120" i="1"/>
  <c r="O120" i="1"/>
  <c r="E120" i="1"/>
  <c r="N120" i="1" s="1"/>
  <c r="O119" i="1" l="1"/>
  <c r="D123" i="1"/>
  <c r="D122" i="1"/>
  <c r="D121" i="1"/>
  <c r="D120" i="1"/>
  <c r="V94" i="1" l="1"/>
  <c r="V95" i="1"/>
  <c r="V97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P111" i="1" s="1"/>
  <c r="V112" i="1"/>
  <c r="V113" i="1"/>
  <c r="V114" i="1"/>
  <c r="V115" i="1"/>
  <c r="V116" i="1"/>
  <c r="V117" i="1"/>
  <c r="V118" i="1"/>
  <c r="X94" i="1"/>
  <c r="X100" i="1"/>
  <c r="X107" i="1"/>
  <c r="T96" i="1"/>
  <c r="T97" i="1"/>
  <c r="T98" i="1"/>
  <c r="T99" i="1"/>
  <c r="T101" i="1"/>
  <c r="T102" i="1"/>
  <c r="T103" i="1"/>
  <c r="T104" i="1"/>
  <c r="T109" i="1"/>
  <c r="T110" i="1"/>
  <c r="T112" i="1"/>
  <c r="T113" i="1"/>
  <c r="T114" i="1"/>
  <c r="T115" i="1"/>
  <c r="T116" i="1"/>
  <c r="T117" i="1"/>
  <c r="T118" i="1"/>
  <c r="V93" i="1"/>
  <c r="T93" i="1"/>
  <c r="G96" i="1"/>
  <c r="G98" i="1"/>
  <c r="G100" i="1"/>
  <c r="G101" i="1"/>
  <c r="G104" i="1"/>
  <c r="G105" i="1"/>
  <c r="G107" i="1"/>
  <c r="G108" i="1"/>
  <c r="O96" i="1"/>
  <c r="Z96" i="1" s="1"/>
  <c r="O118" i="1"/>
  <c r="E118" i="1"/>
  <c r="N118" i="1" s="1"/>
  <c r="O117" i="1"/>
  <c r="E117" i="1"/>
  <c r="N117" i="1" s="1"/>
  <c r="O116" i="1"/>
  <c r="E116" i="1"/>
  <c r="N116" i="1" s="1"/>
  <c r="O115" i="1"/>
  <c r="E115" i="1"/>
  <c r="N115" i="1" s="1"/>
  <c r="O114" i="1"/>
  <c r="E114" i="1"/>
  <c r="N114" i="1" s="1"/>
  <c r="O113" i="1"/>
  <c r="E113" i="1"/>
  <c r="N113" i="1" s="1"/>
  <c r="O112" i="1"/>
  <c r="E112" i="1"/>
  <c r="N112" i="1" s="1"/>
  <c r="O111" i="1"/>
  <c r="E111" i="1"/>
  <c r="N111" i="1" s="1"/>
  <c r="O110" i="1"/>
  <c r="E110" i="1"/>
  <c r="N110" i="1" s="1"/>
  <c r="O109" i="1"/>
  <c r="Z109" i="1" s="1"/>
  <c r="E109" i="1"/>
  <c r="N109" i="1" s="1"/>
  <c r="O108" i="1"/>
  <c r="E108" i="1"/>
  <c r="N108" i="1" s="1"/>
  <c r="O107" i="1"/>
  <c r="E107" i="1"/>
  <c r="N107" i="1" s="1"/>
  <c r="O106" i="1"/>
  <c r="Z106" i="1" s="1"/>
  <c r="E106" i="1"/>
  <c r="N106" i="1" s="1"/>
  <c r="O105" i="1"/>
  <c r="E105" i="1"/>
  <c r="N105" i="1" s="1"/>
  <c r="O104" i="1"/>
  <c r="E104" i="1"/>
  <c r="N104" i="1" s="1"/>
  <c r="O103" i="1"/>
  <c r="Z103" i="1" s="1"/>
  <c r="E103" i="1"/>
  <c r="N103" i="1" s="1"/>
  <c r="O102" i="1"/>
  <c r="Z102" i="1" s="1"/>
  <c r="E102" i="1"/>
  <c r="N102" i="1" s="1"/>
  <c r="O101" i="1"/>
  <c r="E101" i="1"/>
  <c r="N101" i="1" s="1"/>
  <c r="O100" i="1"/>
  <c r="E100" i="1"/>
  <c r="N100" i="1" s="1"/>
  <c r="O99" i="1"/>
  <c r="E99" i="1"/>
  <c r="N99" i="1" s="1"/>
  <c r="O98" i="1"/>
  <c r="E98" i="1"/>
  <c r="N98" i="1" s="1"/>
  <c r="O97" i="1"/>
  <c r="Z97" i="1" s="1"/>
  <c r="E97" i="1"/>
  <c r="N97" i="1" s="1"/>
  <c r="E96" i="1"/>
  <c r="N96" i="1" s="1"/>
  <c r="O95" i="1"/>
  <c r="E95" i="1"/>
  <c r="N95" i="1" s="1"/>
  <c r="O94" i="1"/>
  <c r="E94" i="1"/>
  <c r="N94" i="1" s="1"/>
  <c r="O93" i="1"/>
  <c r="Z93" i="1" s="1"/>
  <c r="E93" i="1"/>
  <c r="N93" i="1" s="1"/>
  <c r="P95" i="1" l="1"/>
  <c r="P94" i="1"/>
  <c r="P102" i="1"/>
  <c r="P113" i="1"/>
  <c r="P97" i="1"/>
  <c r="P109" i="1"/>
  <c r="P105" i="1"/>
  <c r="D111" i="1"/>
  <c r="P96" i="1"/>
  <c r="P98" i="1"/>
  <c r="Z101" i="1"/>
  <c r="Z111" i="1"/>
  <c r="Z115" i="1"/>
  <c r="Z105" i="1"/>
  <c r="P110" i="1"/>
  <c r="Z100" i="1"/>
  <c r="Z107" i="1"/>
  <c r="Z110" i="1"/>
  <c r="Z114" i="1"/>
  <c r="Z116" i="1"/>
  <c r="Z118" i="1"/>
  <c r="P117" i="1"/>
  <c r="P101" i="1"/>
  <c r="P106" i="1"/>
  <c r="Z117" i="1"/>
  <c r="Z104" i="1"/>
  <c r="Z112" i="1"/>
  <c r="Z113" i="1"/>
  <c r="P116" i="1"/>
  <c r="P112" i="1"/>
  <c r="P108" i="1"/>
  <c r="P100" i="1"/>
  <c r="P115" i="1"/>
  <c r="P107" i="1"/>
  <c r="P103" i="1"/>
  <c r="P99" i="1"/>
  <c r="P104" i="1"/>
  <c r="P118" i="1"/>
  <c r="P114" i="1"/>
  <c r="P93" i="1"/>
  <c r="AB124" i="1"/>
  <c r="AA124" i="1"/>
  <c r="X124" i="1"/>
  <c r="W124" i="1"/>
  <c r="V124" i="1"/>
  <c r="U124" i="1"/>
  <c r="R124" i="1"/>
  <c r="Q124" i="1"/>
  <c r="L124" i="1"/>
  <c r="K124" i="1"/>
  <c r="J124" i="1"/>
  <c r="I124" i="1"/>
  <c r="H124" i="1"/>
  <c r="G124" i="1"/>
  <c r="F124" i="1"/>
  <c r="C124" i="1"/>
  <c r="AC119" i="1"/>
  <c r="AB119" i="1"/>
  <c r="AA119" i="1"/>
  <c r="Z119" i="1"/>
  <c r="X119" i="1"/>
  <c r="W119" i="1"/>
  <c r="V119" i="1"/>
  <c r="U119" i="1"/>
  <c r="T119" i="1"/>
  <c r="S119" i="1"/>
  <c r="R119" i="1"/>
  <c r="Q119" i="1"/>
  <c r="L119" i="1"/>
  <c r="K119" i="1"/>
  <c r="J119" i="1"/>
  <c r="I119" i="1"/>
  <c r="H119" i="1"/>
  <c r="G119" i="1"/>
  <c r="F119" i="1"/>
  <c r="C119" i="1"/>
  <c r="AC92" i="1"/>
  <c r="AB92" i="1"/>
  <c r="AA92" i="1"/>
  <c r="X92" i="1"/>
  <c r="W92" i="1"/>
  <c r="V92" i="1"/>
  <c r="U92" i="1"/>
  <c r="T92" i="1"/>
  <c r="S92" i="1"/>
  <c r="R92" i="1"/>
  <c r="Q92" i="1"/>
  <c r="L92" i="1"/>
  <c r="K92" i="1"/>
  <c r="J92" i="1"/>
  <c r="I92" i="1"/>
  <c r="H92" i="1"/>
  <c r="G92" i="1"/>
  <c r="F92" i="1"/>
  <c r="C92" i="1"/>
  <c r="P91" i="1"/>
  <c r="O91" i="1"/>
  <c r="E91" i="1"/>
  <c r="N91" i="1" s="1"/>
  <c r="P90" i="1"/>
  <c r="O90" i="1"/>
  <c r="E90" i="1"/>
  <c r="N90" i="1" s="1"/>
  <c r="P89" i="1"/>
  <c r="O89" i="1"/>
  <c r="E89" i="1"/>
  <c r="N89" i="1" s="1"/>
  <c r="P88" i="1"/>
  <c r="O88" i="1"/>
  <c r="E88" i="1"/>
  <c r="N88" i="1" s="1"/>
  <c r="P87" i="1"/>
  <c r="O87" i="1"/>
  <c r="E87" i="1"/>
  <c r="N87" i="1" s="1"/>
  <c r="P86" i="1"/>
  <c r="O86" i="1"/>
  <c r="E86" i="1"/>
  <c r="N86" i="1" s="1"/>
  <c r="P85" i="1"/>
  <c r="O85" i="1"/>
  <c r="E85" i="1"/>
  <c r="N85" i="1" s="1"/>
  <c r="P84" i="1"/>
  <c r="O84" i="1"/>
  <c r="E84" i="1"/>
  <c r="N84" i="1" s="1"/>
  <c r="P83" i="1"/>
  <c r="O83" i="1"/>
  <c r="E83" i="1"/>
  <c r="N83" i="1" s="1"/>
  <c r="P82" i="1"/>
  <c r="O82" i="1"/>
  <c r="E82" i="1"/>
  <c r="N82" i="1" s="1"/>
  <c r="P81" i="1"/>
  <c r="O81" i="1"/>
  <c r="E81" i="1"/>
  <c r="N81" i="1" s="1"/>
  <c r="P80" i="1"/>
  <c r="O80" i="1"/>
  <c r="E80" i="1"/>
  <c r="N80" i="1" s="1"/>
  <c r="P79" i="1"/>
  <c r="O79" i="1"/>
  <c r="E79" i="1"/>
  <c r="N79" i="1" s="1"/>
  <c r="P78" i="1"/>
  <c r="O78" i="1"/>
  <c r="E78" i="1"/>
  <c r="N78" i="1" s="1"/>
  <c r="P77" i="1"/>
  <c r="O77" i="1"/>
  <c r="E77" i="1"/>
  <c r="N77" i="1" s="1"/>
  <c r="P76" i="1"/>
  <c r="O76" i="1"/>
  <c r="E76" i="1"/>
  <c r="N76" i="1" s="1"/>
  <c r="P75" i="1"/>
  <c r="O75" i="1"/>
  <c r="E75" i="1"/>
  <c r="N75" i="1" s="1"/>
  <c r="AC74" i="1"/>
  <c r="AB74" i="1"/>
  <c r="AA74" i="1"/>
  <c r="Z74" i="1"/>
  <c r="X74" i="1"/>
  <c r="W74" i="1"/>
  <c r="V74" i="1"/>
  <c r="U74" i="1"/>
  <c r="T74" i="1"/>
  <c r="S74" i="1"/>
  <c r="R74" i="1"/>
  <c r="Q74" i="1"/>
  <c r="L74" i="1"/>
  <c r="K74" i="1"/>
  <c r="J74" i="1"/>
  <c r="I74" i="1"/>
  <c r="H74" i="1"/>
  <c r="G74" i="1"/>
  <c r="F74" i="1"/>
  <c r="C74" i="1"/>
  <c r="P73" i="1"/>
  <c r="O73" i="1"/>
  <c r="E73" i="1"/>
  <c r="N73" i="1" s="1"/>
  <c r="P72" i="1"/>
  <c r="O72" i="1"/>
  <c r="E72" i="1"/>
  <c r="N72" i="1" s="1"/>
  <c r="P71" i="1"/>
  <c r="O71" i="1"/>
  <c r="E71" i="1"/>
  <c r="N71" i="1" s="1"/>
  <c r="P70" i="1"/>
  <c r="O70" i="1"/>
  <c r="E70" i="1"/>
  <c r="N70" i="1" s="1"/>
  <c r="P69" i="1"/>
  <c r="O69" i="1"/>
  <c r="E69" i="1"/>
  <c r="N69" i="1" s="1"/>
  <c r="P68" i="1"/>
  <c r="E68" i="1"/>
  <c r="N68" i="1" s="1"/>
  <c r="P67" i="1"/>
  <c r="O67" i="1"/>
  <c r="E67" i="1"/>
  <c r="N67" i="1" s="1"/>
  <c r="P66" i="1"/>
  <c r="O66" i="1"/>
  <c r="E66" i="1"/>
  <c r="N66" i="1" s="1"/>
  <c r="P65" i="1"/>
  <c r="O65" i="1"/>
  <c r="E65" i="1"/>
  <c r="N65" i="1" s="1"/>
  <c r="P64" i="1"/>
  <c r="O64" i="1"/>
  <c r="E64" i="1"/>
  <c r="N64" i="1" s="1"/>
  <c r="P63" i="1"/>
  <c r="E63" i="1"/>
  <c r="N63" i="1" s="1"/>
  <c r="P62" i="1"/>
  <c r="O62" i="1"/>
  <c r="E62" i="1"/>
  <c r="P61" i="1"/>
  <c r="O61" i="1"/>
  <c r="E61" i="1"/>
  <c r="N61" i="1" s="1"/>
  <c r="P60" i="1"/>
  <c r="O60" i="1"/>
  <c r="E60" i="1"/>
  <c r="N60" i="1" s="1"/>
  <c r="AC59" i="1"/>
  <c r="AB59" i="1"/>
  <c r="AA59" i="1"/>
  <c r="Z59" i="1"/>
  <c r="X59" i="1"/>
  <c r="W59" i="1"/>
  <c r="V59" i="1"/>
  <c r="U59" i="1"/>
  <c r="T59" i="1"/>
  <c r="S59" i="1"/>
  <c r="R59" i="1"/>
  <c r="Q59" i="1"/>
  <c r="L59" i="1"/>
  <c r="K59" i="1"/>
  <c r="J59" i="1"/>
  <c r="I59" i="1"/>
  <c r="H59" i="1"/>
  <c r="G59" i="1"/>
  <c r="F59" i="1"/>
  <c r="C59" i="1"/>
  <c r="P58" i="1"/>
  <c r="O58" i="1"/>
  <c r="E58" i="1"/>
  <c r="N58" i="1" s="1"/>
  <c r="P57" i="1"/>
  <c r="O57" i="1"/>
  <c r="E57" i="1"/>
  <c r="N57" i="1" s="1"/>
  <c r="P56" i="1"/>
  <c r="O56" i="1"/>
  <c r="E56" i="1"/>
  <c r="N56" i="1" s="1"/>
  <c r="P55" i="1"/>
  <c r="O55" i="1"/>
  <c r="E55" i="1"/>
  <c r="N55" i="1" s="1"/>
  <c r="P54" i="1"/>
  <c r="O54" i="1"/>
  <c r="E54" i="1"/>
  <c r="N54" i="1" s="1"/>
  <c r="P53" i="1"/>
  <c r="O53" i="1"/>
  <c r="E53" i="1"/>
  <c r="N53" i="1" s="1"/>
  <c r="P52" i="1"/>
  <c r="O52" i="1"/>
  <c r="E52" i="1"/>
  <c r="N52" i="1" s="1"/>
  <c r="P51" i="1"/>
  <c r="O51" i="1"/>
  <c r="E51" i="1"/>
  <c r="N51" i="1" s="1"/>
  <c r="P50" i="1"/>
  <c r="O50" i="1"/>
  <c r="E50" i="1"/>
  <c r="N50" i="1" s="1"/>
  <c r="P49" i="1"/>
  <c r="O49" i="1"/>
  <c r="E49" i="1"/>
  <c r="N49" i="1" s="1"/>
  <c r="P48" i="1"/>
  <c r="O48" i="1"/>
  <c r="E48" i="1"/>
  <c r="N48" i="1" s="1"/>
  <c r="P47" i="1"/>
  <c r="O47" i="1"/>
  <c r="E47" i="1"/>
  <c r="N47" i="1" s="1"/>
  <c r="P46" i="1"/>
  <c r="O46" i="1"/>
  <c r="E46" i="1"/>
  <c r="N46" i="1" s="1"/>
  <c r="P45" i="1"/>
  <c r="O45" i="1"/>
  <c r="E45" i="1"/>
  <c r="N45" i="1" s="1"/>
  <c r="P44" i="1"/>
  <c r="O44" i="1"/>
  <c r="E44" i="1"/>
  <c r="N44" i="1" s="1"/>
  <c r="P43" i="1"/>
  <c r="O43" i="1"/>
  <c r="E43" i="1"/>
  <c r="N43" i="1" s="1"/>
  <c r="P42" i="1"/>
  <c r="O42" i="1"/>
  <c r="E42" i="1"/>
  <c r="N42" i="1" s="1"/>
  <c r="P41" i="1"/>
  <c r="O41" i="1"/>
  <c r="E41" i="1"/>
  <c r="N41" i="1" s="1"/>
  <c r="P40" i="1"/>
  <c r="O40" i="1"/>
  <c r="E40" i="1"/>
  <c r="N40" i="1" s="1"/>
  <c r="P39" i="1"/>
  <c r="O39" i="1"/>
  <c r="E39" i="1"/>
  <c r="N39" i="1" s="1"/>
  <c r="P38" i="1"/>
  <c r="O38" i="1"/>
  <c r="E38" i="1"/>
  <c r="N38" i="1" s="1"/>
  <c r="P37" i="1"/>
  <c r="O37" i="1"/>
  <c r="E37" i="1"/>
  <c r="N37" i="1" s="1"/>
  <c r="P36" i="1"/>
  <c r="O36" i="1"/>
  <c r="E36" i="1"/>
  <c r="N36" i="1" s="1"/>
  <c r="P35" i="1"/>
  <c r="O35" i="1"/>
  <c r="E35" i="1"/>
  <c r="N35" i="1" s="1"/>
  <c r="P34" i="1"/>
  <c r="O34" i="1"/>
  <c r="E34" i="1"/>
  <c r="N34" i="1" s="1"/>
  <c r="P33" i="1"/>
  <c r="O33" i="1"/>
  <c r="E33" i="1"/>
  <c r="N33" i="1" s="1"/>
  <c r="P32" i="1"/>
  <c r="O32" i="1"/>
  <c r="E32" i="1"/>
  <c r="N32" i="1" s="1"/>
  <c r="P31" i="1"/>
  <c r="O31" i="1"/>
  <c r="E31" i="1"/>
  <c r="N31" i="1" s="1"/>
  <c r="P30" i="1"/>
  <c r="O30" i="1"/>
  <c r="E30" i="1"/>
  <c r="N30" i="1" s="1"/>
  <c r="P29" i="1"/>
  <c r="O29" i="1"/>
  <c r="E29" i="1"/>
  <c r="N29" i="1" s="1"/>
  <c r="P28" i="1"/>
  <c r="O28" i="1"/>
  <c r="E28" i="1"/>
  <c r="N28" i="1" s="1"/>
  <c r="P27" i="1"/>
  <c r="O27" i="1"/>
  <c r="E27" i="1"/>
  <c r="N27" i="1" s="1"/>
  <c r="P26" i="1"/>
  <c r="O26" i="1"/>
  <c r="E26" i="1"/>
  <c r="N26" i="1" s="1"/>
  <c r="P25" i="1"/>
  <c r="O25" i="1"/>
  <c r="E25" i="1"/>
  <c r="N25" i="1" s="1"/>
  <c r="P24" i="1"/>
  <c r="O24" i="1"/>
  <c r="E24" i="1"/>
  <c r="N24" i="1" s="1"/>
  <c r="P23" i="1"/>
  <c r="O23" i="1"/>
  <c r="E23" i="1"/>
  <c r="N23" i="1" s="1"/>
  <c r="P22" i="1"/>
  <c r="O22" i="1"/>
  <c r="E22" i="1"/>
  <c r="N22" i="1" s="1"/>
  <c r="P21" i="1"/>
  <c r="O21" i="1"/>
  <c r="E21" i="1"/>
  <c r="N21" i="1" s="1"/>
  <c r="P20" i="1"/>
  <c r="O20" i="1"/>
  <c r="E20" i="1"/>
  <c r="N20" i="1" s="1"/>
  <c r="P19" i="1"/>
  <c r="O19" i="1"/>
  <c r="E19" i="1"/>
  <c r="N19" i="1" s="1"/>
  <c r="P18" i="1"/>
  <c r="O18" i="1"/>
  <c r="E18" i="1"/>
  <c r="P17" i="1"/>
  <c r="O17" i="1"/>
  <c r="E17" i="1"/>
  <c r="N17" i="1" s="1"/>
  <c r="P16" i="1"/>
  <c r="O16" i="1"/>
  <c r="E16" i="1"/>
  <c r="N16" i="1" s="1"/>
  <c r="P15" i="1"/>
  <c r="O15" i="1"/>
  <c r="E15" i="1"/>
  <c r="N15" i="1" s="1"/>
  <c r="AC14" i="1"/>
  <c r="AB14" i="1"/>
  <c r="AA14" i="1"/>
  <c r="Z14" i="1"/>
  <c r="X14" i="1"/>
  <c r="W14" i="1"/>
  <c r="V14" i="1"/>
  <c r="U14" i="1"/>
  <c r="T14" i="1"/>
  <c r="S14" i="1"/>
  <c r="R14" i="1"/>
  <c r="Q14" i="1"/>
  <c r="L14" i="1"/>
  <c r="K14" i="1"/>
  <c r="J14" i="1"/>
  <c r="I14" i="1"/>
  <c r="H14" i="1"/>
  <c r="G14" i="1"/>
  <c r="F14" i="1"/>
  <c r="C14" i="1"/>
  <c r="D110" i="1" l="1"/>
  <c r="D101" i="1"/>
  <c r="D16" i="1"/>
  <c r="D20" i="1"/>
  <c r="D28" i="1"/>
  <c r="D44" i="1"/>
  <c r="D61" i="1"/>
  <c r="D71" i="1"/>
  <c r="D80" i="1"/>
  <c r="D84" i="1"/>
  <c r="D104" i="1"/>
  <c r="D19" i="1"/>
  <c r="D23" i="1"/>
  <c r="D27" i="1"/>
  <c r="D31" i="1"/>
  <c r="D35" i="1"/>
  <c r="D39" i="1"/>
  <c r="D43" i="1"/>
  <c r="D47" i="1"/>
  <c r="D51" i="1"/>
  <c r="D55" i="1"/>
  <c r="D60" i="1"/>
  <c r="D70" i="1"/>
  <c r="D79" i="1"/>
  <c r="D83" i="1"/>
  <c r="D117" i="1"/>
  <c r="D99" i="1"/>
  <c r="D100" i="1"/>
  <c r="D94" i="1"/>
  <c r="D24" i="1"/>
  <c r="D36" i="1"/>
  <c r="D40" i="1"/>
  <c r="D48" i="1"/>
  <c r="D56" i="1"/>
  <c r="D64" i="1"/>
  <c r="D76" i="1"/>
  <c r="D93" i="1"/>
  <c r="D116" i="1"/>
  <c r="D96" i="1"/>
  <c r="D18" i="1"/>
  <c r="D22" i="1"/>
  <c r="D26" i="1"/>
  <c r="D30" i="1"/>
  <c r="D34" i="1"/>
  <c r="D38" i="1"/>
  <c r="D42" i="1"/>
  <c r="D46" i="1"/>
  <c r="D50" i="1"/>
  <c r="D54" i="1"/>
  <c r="D58" i="1"/>
  <c r="D69" i="1"/>
  <c r="D73" i="1"/>
  <c r="D114" i="1"/>
  <c r="D108" i="1"/>
  <c r="D106" i="1"/>
  <c r="D98" i="1"/>
  <c r="D105" i="1"/>
  <c r="D97" i="1"/>
  <c r="D95" i="1"/>
  <c r="D32" i="1"/>
  <c r="D52" i="1"/>
  <c r="D115" i="1"/>
  <c r="D17" i="1"/>
  <c r="D21" i="1"/>
  <c r="D25" i="1"/>
  <c r="D29" i="1"/>
  <c r="D33" i="1"/>
  <c r="D37" i="1"/>
  <c r="D41" i="1"/>
  <c r="D45" i="1"/>
  <c r="D49" i="1"/>
  <c r="D53" i="1"/>
  <c r="D57" i="1"/>
  <c r="D62" i="1"/>
  <c r="D72" i="1"/>
  <c r="D81" i="1"/>
  <c r="D85" i="1"/>
  <c r="D118" i="1"/>
  <c r="D107" i="1"/>
  <c r="D112" i="1"/>
  <c r="D109" i="1"/>
  <c r="D113" i="1"/>
  <c r="D102" i="1"/>
  <c r="D103" i="1"/>
  <c r="D91" i="1"/>
  <c r="D86" i="1"/>
  <c r="D78" i="1"/>
  <c r="D68" i="1"/>
  <c r="D65" i="1"/>
  <c r="D82" i="1"/>
  <c r="D77" i="1"/>
  <c r="D90" i="1"/>
  <c r="D89" i="1"/>
  <c r="D88" i="1"/>
  <c r="D87" i="1"/>
  <c r="D67" i="1"/>
  <c r="D66" i="1"/>
  <c r="D63" i="1"/>
  <c r="Z92" i="1"/>
  <c r="I13" i="1"/>
  <c r="O92" i="1"/>
  <c r="G13" i="1"/>
  <c r="Q13" i="1"/>
  <c r="U13" i="1"/>
  <c r="K13" i="1"/>
  <c r="V13" i="1"/>
  <c r="AA13" i="1"/>
  <c r="R13" i="1"/>
  <c r="E124" i="1"/>
  <c r="F13" i="1"/>
  <c r="P92" i="1"/>
  <c r="P119" i="1"/>
  <c r="E14" i="1"/>
  <c r="O59" i="1"/>
  <c r="O74" i="1"/>
  <c r="P14" i="1"/>
  <c r="C13" i="1"/>
  <c r="P59" i="1"/>
  <c r="X13" i="1"/>
  <c r="P74" i="1"/>
  <c r="W13" i="1"/>
  <c r="AB13" i="1"/>
  <c r="E92" i="1"/>
  <c r="E119" i="1"/>
  <c r="N74" i="1"/>
  <c r="J13" i="1"/>
  <c r="O14" i="1"/>
  <c r="E59" i="1"/>
  <c r="D119" i="1"/>
  <c r="H13" i="1"/>
  <c r="L13" i="1"/>
  <c r="D75" i="1"/>
  <c r="N124" i="1"/>
  <c r="D15" i="1"/>
  <c r="N18" i="1"/>
  <c r="N14" i="1" s="1"/>
  <c r="N62" i="1"/>
  <c r="N59" i="1" s="1"/>
  <c r="N92" i="1"/>
  <c r="E74" i="1"/>
  <c r="N119" i="1"/>
  <c r="D14" i="1" l="1"/>
  <c r="D92" i="1"/>
  <c r="D74" i="1"/>
  <c r="D59" i="1"/>
  <c r="E13" i="1"/>
  <c r="N13" i="1"/>
  <c r="AC124" i="1"/>
  <c r="AC13" i="1" s="1"/>
  <c r="Z124" i="1"/>
  <c r="Z13" i="1" s="1"/>
  <c r="T124" i="1"/>
  <c r="T13" i="1" s="1"/>
  <c r="S124" i="1"/>
  <c r="S13" i="1" s="1"/>
  <c r="P127" i="1"/>
  <c r="P124" i="1" s="1"/>
  <c r="P13" i="1" s="1"/>
  <c r="D127" i="1" l="1"/>
  <c r="D124" i="1" s="1"/>
  <c r="D13" i="1" s="1"/>
  <c r="O127" i="1"/>
  <c r="O124" i="1" s="1"/>
  <c r="O13" i="1" s="1"/>
</calcChain>
</file>

<file path=xl/sharedStrings.xml><?xml version="1.0" encoding="utf-8"?>
<sst xmlns="http://schemas.openxmlformats.org/spreadsheetml/2006/main" count="211" uniqueCount="133">
  <si>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</si>
  <si>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N п/п</t>
  </si>
  <si>
    <t>Наименование муниципального образования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</si>
  <si>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</si>
  <si>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</si>
  <si>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</si>
  <si>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</si>
  <si>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</si>
  <si>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</si>
  <si>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</si>
  <si>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</si>
  <si>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</si>
  <si>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</si>
  <si>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</si>
  <si>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</si>
  <si>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</si>
  <si>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в строящихся домах</t>
  </si>
  <si>
    <t>в домах, введенных в эксплуатацию</t>
  </si>
  <si>
    <t>расселяемая площадь</t>
  </si>
  <si>
    <t>стоимость возмещения</t>
  </si>
  <si>
    <t>приобретаемая площадь</t>
  </si>
  <si>
    <t>стоимость</t>
  </si>
  <si>
    <t>площадь</t>
  </si>
  <si>
    <t>кв. м</t>
  </si>
  <si>
    <t>руб.</t>
  </si>
  <si>
    <t>кв.м</t>
  </si>
  <si>
    <t>Всего по программе переселения, в рамках которой предусмотрено финансирование за счет средств Фонда. в т.ч.:</t>
  </si>
  <si>
    <t>Всего по этапу 2019 года</t>
  </si>
  <si>
    <t>Итого по Большеврудское сельское поселение (Волосовский муниципальный район)</t>
  </si>
  <si>
    <t>Итого по Волосовское городское поселение (Волосовский муниципальный район)</t>
  </si>
  <si>
    <t>Итого по Калитинское сельское поселение (Волосовский муниципальный район)</t>
  </si>
  <si>
    <t>Итого по Каложицкое сельское поселение (Волосовский муниципальный район)</t>
  </si>
  <si>
    <t>Итого по Клопицкое сельское поселение (Волосовский муниципальный район)</t>
  </si>
  <si>
    <t>Итого по Вындиноостровское сельское поселение (Волховский муниципальный район)</t>
  </si>
  <si>
    <t>Итого по Сясьстройское городское поселение (Волховский муниципальный район)</t>
  </si>
  <si>
    <t>Итого по Усадищенское сельское поселение (Волховский муниципальный район)</t>
  </si>
  <si>
    <t>Итого по Агалатовское сельское поселение (Всеволожский муниципальный район)</t>
  </si>
  <si>
    <t>Итого по Город Всеволожск (Всеволожский муниципальный район)</t>
  </si>
  <si>
    <t>Итого по Колтушское сельское поселение (Всеволожский муниципальный район)</t>
  </si>
  <si>
    <t>Итого по Куйвозовское сельское поселение (Всеволожский муниципальный район)</t>
  </si>
  <si>
    <t>Итого по Романовское сельское поселение (Всеволожский муниципальный район)</t>
  </si>
  <si>
    <t>Итого по Гончаровское сельское поселение (Выборгский муниципальный район)</t>
  </si>
  <si>
    <t>Итого по Селезневское сельское поселение (Выборгский муниципальный район)</t>
  </si>
  <si>
    <t>Итого по Город Гатчина (Гатчинский муниципальный район)</t>
  </si>
  <si>
    <t>Итого по Елизаветинское сельское поселение (Гатчинский муниципальный район)</t>
  </si>
  <si>
    <t>Итого по Кобринское сельское поселение (Гатчинский муниципальный район)</t>
  </si>
  <si>
    <t>Итого по Новосветское сельское поселение (Гатчинский муниципальный район)</t>
  </si>
  <si>
    <t>Итого по Пудостьское сельское поселение (Гатчинский муниципальный район)</t>
  </si>
  <si>
    <t>Итого по Большелуцкое сельское поселение (Кингисеппский муниципальный район)</t>
  </si>
  <si>
    <t>Итого по Кингисеппское городское поселение (Кингисеппский муниципальный район)</t>
  </si>
  <si>
    <t>Итого по Котельское сельское поселение (Кингисеппский муниципальный район)</t>
  </si>
  <si>
    <t>Итого по Усть-Лужское сельское поселение (Кингисеппский муниципальный район)</t>
  </si>
  <si>
    <t>Итого по Будогощское городское поселение (Киришский муниципальный район)</t>
  </si>
  <si>
    <t>Итого по Кусинское сельское поселение (Киришский муниципальный район)</t>
  </si>
  <si>
    <t>Итого по Мгинское городское поселение (Кировский муниципальный район)</t>
  </si>
  <si>
    <t>Итого по Павловское городское поселение (Кировский муниципальный район)</t>
  </si>
  <si>
    <t>Итого по Шумское сельское поселение (Кировский муниципальный район)</t>
  </si>
  <si>
    <t>Итого по Алеховщинское сельское поселение (Лодейнопольский муниципальный район)</t>
  </si>
  <si>
    <t>Итого по Доможировское сельское поселение (Лодейнопольский муниципальный район)</t>
  </si>
  <si>
    <t>Итого по Лодейнопольское городское поселение (Лодейнопольский муниципальный район)</t>
  </si>
  <si>
    <t>Итого по Янегское сельское поселение (Лодейнопольский муниципальный район)</t>
  </si>
  <si>
    <t>Итого по Аннинское городское поселение (Ломоносовский муниципальный район)</t>
  </si>
  <si>
    <t>Итого по Дзержинское сельское поселение (Лужский муниципальный район)</t>
  </si>
  <si>
    <t>Итого по Заклинское сельское поселение (Лужский муниципальный район)</t>
  </si>
  <si>
    <t>Итого по Скребловское сельское поселение (Лужский муниципальный район)</t>
  </si>
  <si>
    <t>Итого по Торковичское сельское поселение (Лужский муниципальный район)</t>
  </si>
  <si>
    <t>Итого по Громовское сельское поселение (Приозерский муниципальный район)</t>
  </si>
  <si>
    <t>Итого по Кузнечнинское городское поселение (Приозерский муниципальный район)</t>
  </si>
  <si>
    <t>Итого по Сосновское сельское поселение (Приозерский муниципальный район)</t>
  </si>
  <si>
    <t>Итого по Черновское сельское поселение (Сланцевский муниципальный район)</t>
  </si>
  <si>
    <t>Итого по Лисинское сельское поселение (Тосненский муниципальный район)</t>
  </si>
  <si>
    <t>Итого по Форносовское городское поселение (Тосненский муниципальный район)</t>
  </si>
  <si>
    <t>Всего по этапу 2020 года</t>
  </si>
  <si>
    <t>Итого по Ефимовское городское поселение (Бокситогорский муниципальный район)</t>
  </si>
  <si>
    <t>Итого по Заневское городское поселение. (Всеволожский муниципальный район)</t>
  </si>
  <si>
    <t>Итого по Полянское сельское поселение (Выборгский муниципальный район)</t>
  </si>
  <si>
    <t>Итого по Вырицкое городское поселение (Гатчинский муниципальный район)</t>
  </si>
  <si>
    <t>Итого по Дружногорское городское поселение (Гатчинский муниципальный район)</t>
  </si>
  <si>
    <t>Итого по Рождественское сельское поселение (Гатчинский муниципальный район)</t>
  </si>
  <si>
    <t>Итого по Сиверское городское поселение (Гатчинский муниципальный район)</t>
  </si>
  <si>
    <t>Итого по Опольевское сельское поселение (Кингисеппский муниципальный район)</t>
  </si>
  <si>
    <t>Итого по Отрадненское городское поселение (Кировский муниципальный район)</t>
  </si>
  <si>
    <t>Итого по Подпорожское городское поселение (Подпорожский муниципальный район)</t>
  </si>
  <si>
    <t>Итого по Шугозерское сельское поселение (Тихвинский муниципальный район)</t>
  </si>
  <si>
    <t>Итого по Любанское городское поселение (Тосненский муниципальный район)</t>
  </si>
  <si>
    <t>Всего по этапу 2021 года</t>
  </si>
  <si>
    <t>Итого по Лесколовское  сельское поселение (Всеволожский муниципальный район)</t>
  </si>
  <si>
    <t>Итого по Токсовское городское поселение (Всеволожский муниципальный район)</t>
  </si>
  <si>
    <t>Итого по Город Коммунар (Гатчинский муниципальный район)</t>
  </si>
  <si>
    <t>Итого по Город Ивангород (Кингисеппский муниципальный район)</t>
  </si>
  <si>
    <t>Итого по Лужское городское поселение (Лужский муниципальный район)</t>
  </si>
  <si>
    <t>Итого по Загривское сельское поселение (Сланцевский муниципальный район)</t>
  </si>
  <si>
    <t>Итого по Тихвинское городское поселение (Тихвинский муниципальный район)</t>
  </si>
  <si>
    <t>Всего по этапу 2022 года</t>
  </si>
  <si>
    <t>Итого по Кузьмоловское городское поселение. (Всеволожский муниципальный район)</t>
  </si>
  <si>
    <t>Итого по Рахьинское городское поселение (Всеволожский муниципальный район)</t>
  </si>
  <si>
    <t>Итого по Каменногорское городское поселение (Выборгский муниципальный район)</t>
  </si>
  <si>
    <t>Итого по Шлиссельбургское городское поселение (Кировский муниципальный район)</t>
  </si>
  <si>
    <t>Итого по Мшинское сельское поселение (Лужский муниципальный район)</t>
  </si>
  <si>
    <t>Итого по Красноборское городское поселение (Тосненский муниципальный район)</t>
  </si>
  <si>
    <t>Всего по этапу 2023 года</t>
  </si>
  <si>
    <t>Итого по Город Пикалево (Бокситогорский муниципальный район)</t>
  </si>
  <si>
    <t>Итого по Город Волхов (Волховский муниципальный район)</t>
  </si>
  <si>
    <t>Итого по Свердловское городское поселение (Всеволожский муниципальный район)</t>
  </si>
  <si>
    <t>Итого по Щегловское сельское поселение (Всеволожский муниципальный район)</t>
  </si>
  <si>
    <t>Итого по Рощинское городское поселение (Выборгский муниципальный район)</t>
  </si>
  <si>
    <t>Итого по Пустомержское сельское поселение (Кингисеппский муниципальный район)</t>
  </si>
  <si>
    <t>Итого по Лебяженское городское поселение (Ломоносовский муниципальный район)</t>
  </si>
  <si>
    <t>Итого по Оредежское сельское поселение (Лужский муниципальный район)</t>
  </si>
  <si>
    <t>Итого по Толмачевское городское поселение (Лужский муниципальный район)</t>
  </si>
  <si>
    <t>Итого по Ульяновское городское поселение (Тосненский муниципальный район)</t>
  </si>
  <si>
    <t>Всего по этапу 2024 года</t>
  </si>
  <si>
    <t>Итого по Город Выборг (Выборгский муниципальный район)</t>
  </si>
  <si>
    <t>Итого по Пудомягское сельское поселение (Гатчинский муниципальный район)</t>
  </si>
  <si>
    <t>Итого по Таицкое городское поселение (Гатчинский муниципальный район)</t>
  </si>
  <si>
    <t>Итого по Приозерское городское поселение (Приозерский муниципальный район)</t>
  </si>
  <si>
    <t>Итого по Рябовское городское поселение (Тосненский муниципальный район)</t>
  </si>
  <si>
    <t>Итого по Тельмановское сельское поселение (Тосненский муниципальный район)</t>
  </si>
  <si>
    <t>к Программе…</t>
  </si>
  <si>
    <t>предоставление по договорам 
социального найма</t>
  </si>
  <si>
    <t xml:space="preserve">субсидия на возмещение 
расходов по договорам о 
комплексном и устойчивом 
развитии территорий </t>
  </si>
  <si>
    <t>субсидия на приобретение 
(строительство) 
жилых помещений</t>
  </si>
  <si>
    <t>субсидия на возмещение 
части расходов на 
уплату процентов 
за пользование 
займом или кредитом</t>
  </si>
  <si>
    <t>предоставление по договорам 
найма жилищного фонда
 социального использования</t>
  </si>
  <si>
    <t>предоставление по договорам 
найма жилого помещения 
маневренного фонда</t>
  </si>
  <si>
    <t>предоставление 
по договорам мены</t>
  </si>
  <si>
    <t xml:space="preserve">Приложение 2   </t>
  </si>
  <si>
    <t>Итого по Мичуринское сельское поселение (Приозерский муниципальный район</t>
  </si>
  <si>
    <t>Итого по г.Коммунар (Гатчинский муниципальный район)</t>
  </si>
  <si>
    <t>Итого по Винницкое сельское поселение (Подпорожский муниципальный район)</t>
  </si>
  <si>
    <t>Итого по Вознесенское городское поселение (Подпорожский муниципальный район)</t>
  </si>
  <si>
    <t xml:space="preserve">приведение жилых помещений свободного жилищного фонда в состояние, пригодное для постоянного проживания граждан </t>
  </si>
  <si>
    <t xml:space="preserve">приведение приобретенных жилых помещений в состояние, пригодное для постоянного проживания граждан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</si>
</sst>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rgb="FF000000"/>
      <name val="Calibri"/>
    </font>
    <font>
      <sz val="10"/>
      <color rgb="FF000000"/>
      <name val="Arial Cyr"/>
    </font>
    <font>
      <sz val="16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rgb="FF000000"/>
      <name val="Arial Cyr"/>
    </font>
    <font>
      <sz val="14"/>
      <name val="Arial Cyr"/>
    </font>
    <font>
      <sz val="10"/>
      <name val="Arial Cyr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 applyFill="1"/>
    <xf numFmtId="0" fontId="1" fillId="2" borderId="0" xfId="0" applyFont="1" applyFill="1"/>
    <xf numFmtId="0" fontId="0" fillId="2" borderId="0" xfId="0" applyFill="1"/>
    <xf numFmtId="4" fontId="1" fillId="2" borderId="0" xfId="0" applyNumberFormat="1" applyFont="1" applyFill="1"/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2" fillId="0" borderId="0" xfId="0" applyFont="1" applyFill="1"/>
    <xf numFmtId="0" fontId="6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Fill="1"/>
    <xf numFmtId="164" fontId="4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4" fontId="8" fillId="2" borderId="0" xfId="0" applyNumberFormat="1" applyFont="1" applyFill="1"/>
    <xf numFmtId="4" fontId="3" fillId="0" borderId="0" xfId="0" applyNumberFormat="1" applyFont="1" applyFill="1"/>
    <xf numFmtId="4" fontId="9" fillId="0" borderId="0" xfId="0" applyNumberFormat="1" applyFont="1" applyFill="1"/>
    <xf numFmtId="4" fontId="10" fillId="0" borderId="0" xfId="0" applyNumberFormat="1" applyFont="1" applyFill="1"/>
    <xf numFmtId="4" fontId="11" fillId="0" borderId="0" xfId="0" applyNumberFormat="1" applyFont="1" applyFill="1"/>
    <xf numFmtId="0" fontId="11" fillId="0" borderId="0" xfId="0" applyFont="1" applyFill="1"/>
    <xf numFmtId="164" fontId="11" fillId="0" borderId="0" xfId="0" applyNumberFormat="1" applyFont="1" applyFill="1"/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textRotation="90" wrapText="1"/>
    </xf>
    <xf numFmtId="0" fontId="2" fillId="0" borderId="6" xfId="0" applyFont="1" applyFill="1" applyBorder="1" applyAlignment="1">
      <alignment textRotation="90" wrapText="1"/>
    </xf>
    <xf numFmtId="0" fontId="2" fillId="0" borderId="2" xfId="0" applyFont="1" applyFill="1" applyBorder="1" applyAlignment="1">
      <alignment textRotation="90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 readingOrder="2"/>
    </xf>
    <xf numFmtId="0" fontId="2" fillId="0" borderId="6" xfId="0" applyFont="1" applyFill="1" applyBorder="1" applyAlignment="1">
      <alignment horizontal="center" vertical="center" textRotation="90" wrapText="1" readingOrder="2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9"/>
  <sheetViews>
    <sheetView tabSelected="1" view="pageBreakPreview" topLeftCell="A116" zoomScale="25" zoomScaleNormal="55" zoomScaleSheetLayoutView="25" workbookViewId="0">
      <selection activeCell="B118" sqref="B118"/>
    </sheetView>
  </sheetViews>
  <sheetFormatPr defaultColWidth="9.1328125" defaultRowHeight="17.25" x14ac:dyDescent="0.45"/>
  <cols>
    <col min="1" max="1" width="6.33203125" style="8" customWidth="1"/>
    <col min="2" max="2" width="36.1328125" style="8" customWidth="1"/>
    <col min="3" max="3" width="17.53125" style="8" customWidth="1"/>
    <col min="4" max="4" width="29.86328125" style="8" customWidth="1"/>
    <col min="5" max="5" width="13.6640625" style="8" customWidth="1"/>
    <col min="6" max="6" width="13.86328125" style="8" customWidth="1"/>
    <col min="7" max="7" width="23.86328125" style="8" customWidth="1"/>
    <col min="8" max="8" width="13.46484375" style="8" customWidth="1"/>
    <col min="9" max="9" width="19.1328125" style="8" customWidth="1"/>
    <col min="10" max="10" width="11.33203125" style="8" bestFit="1" customWidth="1"/>
    <col min="11" max="11" width="15.33203125" style="8" customWidth="1"/>
    <col min="12" max="12" width="17.46484375" style="8" customWidth="1"/>
    <col min="13" max="13" width="22.33203125" style="8" customWidth="1"/>
    <col min="14" max="14" width="17.53125" style="8" customWidth="1"/>
    <col min="15" max="15" width="23.86328125" style="8" customWidth="1"/>
    <col min="16" max="16" width="27.33203125" style="8" customWidth="1"/>
    <col min="17" max="18" width="7.86328125" style="8" bestFit="1" customWidth="1"/>
    <col min="19" max="19" width="17.53125" style="8" bestFit="1" customWidth="1"/>
    <col min="20" max="20" width="28.46484375" style="8" customWidth="1"/>
    <col min="21" max="21" width="13.86328125" style="8" bestFit="1" customWidth="1"/>
    <col min="22" max="22" width="23.86328125" style="8" bestFit="1" customWidth="1"/>
    <col min="23" max="23" width="17.33203125" style="8" customWidth="1"/>
    <col min="24" max="24" width="26.6640625" style="8" customWidth="1"/>
    <col min="25" max="25" width="19.33203125" style="8" customWidth="1"/>
    <col min="26" max="26" width="17.53125" style="8" customWidth="1"/>
    <col min="27" max="27" width="13.46484375" style="8" customWidth="1"/>
    <col min="28" max="28" width="12" style="8" customWidth="1"/>
    <col min="29" max="29" width="17.86328125" style="8" customWidth="1"/>
    <col min="30" max="30" width="31.33203125" style="20" customWidth="1"/>
    <col min="31" max="31" width="18.46484375" style="2" customWidth="1"/>
    <col min="32" max="34" width="9.1328125" style="2"/>
    <col min="35" max="35" width="25.33203125" style="2" customWidth="1"/>
    <col min="36" max="16384" width="9.1328125" style="2"/>
  </cols>
  <sheetData>
    <row r="1" spans="1:31" ht="24" customHeight="1" x14ac:dyDescent="0.55000000000000004">
      <c r="Z1" s="9"/>
      <c r="AA1" s="10"/>
      <c r="AB1" s="28" t="s">
        <v>126</v>
      </c>
      <c r="AC1" s="28"/>
    </row>
    <row r="2" spans="1:31" ht="25.5" customHeight="1" x14ac:dyDescent="0.45">
      <c r="Z2" s="9"/>
      <c r="AA2" s="29" t="s">
        <v>118</v>
      </c>
      <c r="AB2" s="29"/>
      <c r="AC2" s="29"/>
    </row>
    <row r="3" spans="1:31" ht="18.75" customHeight="1" x14ac:dyDescent="0.45">
      <c r="Z3" s="11"/>
      <c r="AA3" s="11"/>
      <c r="AB3" s="11"/>
      <c r="AC3" s="11"/>
    </row>
    <row r="4" spans="1:31" ht="51.95" customHeight="1" x14ac:dyDescent="0.4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31" ht="29.25" customHeight="1" x14ac:dyDescent="0.45">
      <c r="A5" s="49" t="s">
        <v>1</v>
      </c>
      <c r="B5" s="49" t="s">
        <v>2</v>
      </c>
      <c r="C5" s="51" t="s">
        <v>3</v>
      </c>
      <c r="D5" s="43" t="s">
        <v>4</v>
      </c>
      <c r="E5" s="46" t="s">
        <v>5</v>
      </c>
      <c r="F5" s="47"/>
      <c r="G5" s="47"/>
      <c r="H5" s="47"/>
      <c r="I5" s="47"/>
      <c r="J5" s="47"/>
      <c r="K5" s="47"/>
      <c r="L5" s="47"/>
      <c r="M5" s="48"/>
      <c r="N5" s="46" t="s">
        <v>6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/>
    </row>
    <row r="6" spans="1:31" ht="90" customHeight="1" x14ac:dyDescent="0.45">
      <c r="A6" s="50"/>
      <c r="B6" s="50"/>
      <c r="C6" s="52"/>
      <c r="D6" s="44"/>
      <c r="E6" s="49" t="s">
        <v>7</v>
      </c>
      <c r="F6" s="59" t="s">
        <v>8</v>
      </c>
      <c r="G6" s="60"/>
      <c r="H6" s="60"/>
      <c r="I6" s="60"/>
      <c r="J6" s="60"/>
      <c r="K6" s="60"/>
      <c r="L6" s="60"/>
      <c r="M6" s="61"/>
      <c r="N6" s="37" t="s">
        <v>7</v>
      </c>
      <c r="O6" s="58"/>
      <c r="P6" s="38"/>
      <c r="Q6" s="30" t="s">
        <v>8</v>
      </c>
      <c r="R6" s="31"/>
      <c r="S6" s="31"/>
      <c r="T6" s="31"/>
      <c r="U6" s="31"/>
      <c r="V6" s="31"/>
      <c r="W6" s="31"/>
      <c r="X6" s="32"/>
      <c r="Y6" s="12"/>
      <c r="Z6" s="33" t="s">
        <v>9</v>
      </c>
      <c r="AA6" s="33"/>
      <c r="AB6" s="33"/>
      <c r="AC6" s="33"/>
    </row>
    <row r="7" spans="1:31" ht="39.75" customHeight="1" x14ac:dyDescent="0.45">
      <c r="A7" s="50"/>
      <c r="B7" s="50"/>
      <c r="C7" s="52"/>
      <c r="D7" s="44"/>
      <c r="E7" s="50"/>
      <c r="F7" s="53" t="s">
        <v>10</v>
      </c>
      <c r="G7" s="54"/>
      <c r="H7" s="54"/>
      <c r="I7" s="55"/>
      <c r="J7" s="53" t="s">
        <v>11</v>
      </c>
      <c r="K7" s="55"/>
      <c r="L7" s="50" t="s">
        <v>12</v>
      </c>
      <c r="M7" s="62" t="s">
        <v>131</v>
      </c>
      <c r="N7" s="53"/>
      <c r="O7" s="56"/>
      <c r="P7" s="55"/>
      <c r="Q7" s="37" t="s">
        <v>13</v>
      </c>
      <c r="R7" s="38"/>
      <c r="S7" s="41" t="s">
        <v>14</v>
      </c>
      <c r="T7" s="41"/>
      <c r="U7" s="41"/>
      <c r="V7" s="41"/>
      <c r="W7" s="53" t="s">
        <v>15</v>
      </c>
      <c r="X7" s="55"/>
      <c r="Y7" s="49" t="s">
        <v>132</v>
      </c>
      <c r="Z7" s="34" t="s">
        <v>119</v>
      </c>
      <c r="AA7" s="34" t="s">
        <v>123</v>
      </c>
      <c r="AB7" s="34" t="s">
        <v>124</v>
      </c>
      <c r="AC7" s="34" t="s">
        <v>125</v>
      </c>
    </row>
    <row r="8" spans="1:31" ht="34.5" customHeight="1" x14ac:dyDescent="0.45">
      <c r="A8" s="50"/>
      <c r="B8" s="50"/>
      <c r="C8" s="52"/>
      <c r="D8" s="44"/>
      <c r="E8" s="50"/>
      <c r="F8" s="53"/>
      <c r="G8" s="56"/>
      <c r="H8" s="56"/>
      <c r="I8" s="55"/>
      <c r="J8" s="53"/>
      <c r="K8" s="55"/>
      <c r="L8" s="50"/>
      <c r="M8" s="50"/>
      <c r="N8" s="53"/>
      <c r="O8" s="56"/>
      <c r="P8" s="55"/>
      <c r="Q8" s="53"/>
      <c r="R8" s="55"/>
      <c r="S8" s="37" t="s">
        <v>16</v>
      </c>
      <c r="T8" s="38"/>
      <c r="U8" s="37" t="s">
        <v>17</v>
      </c>
      <c r="V8" s="38"/>
      <c r="W8" s="53"/>
      <c r="X8" s="55"/>
      <c r="Y8" s="50"/>
      <c r="Z8" s="35"/>
      <c r="AA8" s="35"/>
      <c r="AB8" s="35"/>
      <c r="AC8" s="35"/>
    </row>
    <row r="9" spans="1:31" ht="232.5" customHeight="1" x14ac:dyDescent="0.45">
      <c r="A9" s="50"/>
      <c r="B9" s="50"/>
      <c r="C9" s="52"/>
      <c r="D9" s="44"/>
      <c r="E9" s="41"/>
      <c r="F9" s="39"/>
      <c r="G9" s="57"/>
      <c r="H9" s="57"/>
      <c r="I9" s="40"/>
      <c r="J9" s="39"/>
      <c r="K9" s="40"/>
      <c r="L9" s="41"/>
      <c r="M9" s="41"/>
      <c r="N9" s="39"/>
      <c r="O9" s="57"/>
      <c r="P9" s="40"/>
      <c r="Q9" s="39"/>
      <c r="R9" s="40"/>
      <c r="S9" s="39"/>
      <c r="T9" s="40"/>
      <c r="U9" s="39"/>
      <c r="V9" s="40"/>
      <c r="W9" s="39"/>
      <c r="X9" s="40"/>
      <c r="Y9" s="41"/>
      <c r="Z9" s="36"/>
      <c r="AA9" s="36"/>
      <c r="AB9" s="36"/>
      <c r="AC9" s="36"/>
    </row>
    <row r="10" spans="1:31" ht="204" customHeight="1" x14ac:dyDescent="0.45">
      <c r="A10" s="50"/>
      <c r="B10" s="50"/>
      <c r="C10" s="52"/>
      <c r="D10" s="45"/>
      <c r="E10" s="13" t="s">
        <v>18</v>
      </c>
      <c r="F10" s="13" t="s">
        <v>18</v>
      </c>
      <c r="G10" s="13" t="s">
        <v>19</v>
      </c>
      <c r="H10" s="13" t="s">
        <v>121</v>
      </c>
      <c r="I10" s="13" t="s">
        <v>122</v>
      </c>
      <c r="J10" s="13" t="s">
        <v>18</v>
      </c>
      <c r="K10" s="13" t="s">
        <v>120</v>
      </c>
      <c r="L10" s="13" t="s">
        <v>18</v>
      </c>
      <c r="M10" s="13" t="s">
        <v>21</v>
      </c>
      <c r="N10" s="13" t="s">
        <v>18</v>
      </c>
      <c r="O10" s="13" t="s">
        <v>20</v>
      </c>
      <c r="P10" s="13" t="s">
        <v>21</v>
      </c>
      <c r="Q10" s="13" t="s">
        <v>20</v>
      </c>
      <c r="R10" s="13" t="s">
        <v>21</v>
      </c>
      <c r="S10" s="13" t="s">
        <v>20</v>
      </c>
      <c r="T10" s="13" t="s">
        <v>21</v>
      </c>
      <c r="U10" s="13" t="s">
        <v>20</v>
      </c>
      <c r="V10" s="13" t="s">
        <v>21</v>
      </c>
      <c r="W10" s="13" t="s">
        <v>20</v>
      </c>
      <c r="X10" s="13" t="s">
        <v>21</v>
      </c>
      <c r="Y10" s="13" t="s">
        <v>21</v>
      </c>
      <c r="Z10" s="13" t="s">
        <v>22</v>
      </c>
      <c r="AA10" s="13" t="s">
        <v>22</v>
      </c>
      <c r="AB10" s="13" t="s">
        <v>22</v>
      </c>
      <c r="AC10" s="13" t="s">
        <v>22</v>
      </c>
    </row>
    <row r="11" spans="1:31" ht="20.25" customHeight="1" x14ac:dyDescent="0.45">
      <c r="A11" s="41"/>
      <c r="B11" s="41"/>
      <c r="C11" s="5" t="s">
        <v>23</v>
      </c>
      <c r="D11" s="14" t="s">
        <v>24</v>
      </c>
      <c r="E11" s="14" t="s">
        <v>23</v>
      </c>
      <c r="F11" s="14" t="s">
        <v>23</v>
      </c>
      <c r="G11" s="14" t="s">
        <v>24</v>
      </c>
      <c r="H11" s="14" t="s">
        <v>24</v>
      </c>
      <c r="I11" s="14" t="s">
        <v>24</v>
      </c>
      <c r="J11" s="14" t="s">
        <v>25</v>
      </c>
      <c r="K11" s="14" t="s">
        <v>24</v>
      </c>
      <c r="L11" s="5" t="s">
        <v>25</v>
      </c>
      <c r="M11" s="14" t="s">
        <v>24</v>
      </c>
      <c r="N11" s="5" t="s">
        <v>25</v>
      </c>
      <c r="O11" s="5" t="s">
        <v>25</v>
      </c>
      <c r="P11" s="14" t="s">
        <v>24</v>
      </c>
      <c r="Q11" s="15" t="s">
        <v>23</v>
      </c>
      <c r="R11" s="15" t="s">
        <v>24</v>
      </c>
      <c r="S11" s="15" t="s">
        <v>23</v>
      </c>
      <c r="T11" s="15" t="s">
        <v>24</v>
      </c>
      <c r="U11" s="5" t="s">
        <v>23</v>
      </c>
      <c r="V11" s="5" t="s">
        <v>24</v>
      </c>
      <c r="W11" s="5" t="s">
        <v>23</v>
      </c>
      <c r="X11" s="5" t="s">
        <v>24</v>
      </c>
      <c r="Y11" s="5" t="s">
        <v>24</v>
      </c>
      <c r="Z11" s="5" t="s">
        <v>23</v>
      </c>
      <c r="AA11" s="5" t="s">
        <v>23</v>
      </c>
      <c r="AB11" s="5" t="s">
        <v>23</v>
      </c>
      <c r="AC11" s="5" t="s">
        <v>23</v>
      </c>
    </row>
    <row r="12" spans="1:31" ht="20.25" customHeight="1" x14ac:dyDescent="0.45">
      <c r="A12" s="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5">
        <v>16</v>
      </c>
      <c r="Q12" s="15">
        <v>17</v>
      </c>
      <c r="R12" s="15">
        <v>18</v>
      </c>
      <c r="S12" s="15">
        <v>19</v>
      </c>
      <c r="T12" s="15">
        <v>20</v>
      </c>
      <c r="U12" s="15">
        <v>21</v>
      </c>
      <c r="V12" s="15">
        <v>22</v>
      </c>
      <c r="W12" s="15">
        <v>23</v>
      </c>
      <c r="X12" s="15">
        <v>24</v>
      </c>
      <c r="Y12" s="15">
        <v>25</v>
      </c>
      <c r="Z12" s="15">
        <v>26</v>
      </c>
      <c r="AA12" s="15">
        <v>27</v>
      </c>
      <c r="AB12" s="15">
        <v>28</v>
      </c>
      <c r="AC12" s="15">
        <v>29</v>
      </c>
    </row>
    <row r="13" spans="1:31" ht="114.75" customHeight="1" x14ac:dyDescent="0.45">
      <c r="A13" s="5"/>
      <c r="B13" s="6" t="s">
        <v>26</v>
      </c>
      <c r="C13" s="4">
        <f t="shared" ref="C13:AC13" si="0">SUM(C14,C59,C74,C92,C119,C124)</f>
        <v>235151.05</v>
      </c>
      <c r="D13" s="4">
        <f t="shared" si="0"/>
        <v>25506337114.149998</v>
      </c>
      <c r="E13" s="4">
        <f t="shared" si="0"/>
        <v>6950.329999999999</v>
      </c>
      <c r="F13" s="4">
        <f t="shared" si="0"/>
        <v>6290.63</v>
      </c>
      <c r="G13" s="4">
        <f t="shared" si="0"/>
        <v>425220662.33999997</v>
      </c>
      <c r="H13" s="4">
        <f t="shared" si="0"/>
        <v>0</v>
      </c>
      <c r="I13" s="4">
        <f t="shared" si="0"/>
        <v>0</v>
      </c>
      <c r="J13" s="4">
        <f t="shared" si="0"/>
        <v>155.6</v>
      </c>
      <c r="K13" s="4">
        <f t="shared" si="0"/>
        <v>0</v>
      </c>
      <c r="L13" s="4">
        <f t="shared" si="0"/>
        <v>504.1</v>
      </c>
      <c r="M13" s="4">
        <v>0</v>
      </c>
      <c r="N13" s="16">
        <f t="shared" si="0"/>
        <v>228200.71999999997</v>
      </c>
      <c r="O13" s="16">
        <f t="shared" si="0"/>
        <v>258472.33000000002</v>
      </c>
      <c r="P13" s="16">
        <f t="shared" si="0"/>
        <v>25081116451.810001</v>
      </c>
      <c r="Q13" s="16">
        <f t="shared" si="0"/>
        <v>0</v>
      </c>
      <c r="R13" s="4">
        <f t="shared" si="0"/>
        <v>0</v>
      </c>
      <c r="S13" s="4">
        <f t="shared" si="0"/>
        <v>193062.74</v>
      </c>
      <c r="T13" s="4">
        <f t="shared" si="0"/>
        <v>19943096077.650002</v>
      </c>
      <c r="U13" s="4">
        <f t="shared" si="0"/>
        <v>7090.27</v>
      </c>
      <c r="V13" s="16">
        <f t="shared" si="0"/>
        <v>750324825.64999998</v>
      </c>
      <c r="W13" s="16">
        <f t="shared" si="0"/>
        <v>58319.32</v>
      </c>
      <c r="X13" s="4">
        <f t="shared" si="0"/>
        <v>4387695548.5100002</v>
      </c>
      <c r="Y13" s="4">
        <v>0</v>
      </c>
      <c r="Z13" s="4">
        <f t="shared" si="0"/>
        <v>130539.23</v>
      </c>
      <c r="AA13" s="4">
        <f t="shared" si="0"/>
        <v>0</v>
      </c>
      <c r="AB13" s="16">
        <f t="shared" si="0"/>
        <v>0</v>
      </c>
      <c r="AC13" s="16">
        <f t="shared" si="0"/>
        <v>127933.1</v>
      </c>
      <c r="AE13" s="1"/>
    </row>
    <row r="14" spans="1:31" ht="53.25" customHeight="1" x14ac:dyDescent="0.45">
      <c r="A14" s="5"/>
      <c r="B14" s="6" t="s">
        <v>27</v>
      </c>
      <c r="C14" s="4">
        <f t="shared" ref="C14:AC14" si="1">SUM(C15:C58)</f>
        <v>20369.48</v>
      </c>
      <c r="D14" s="4">
        <f t="shared" si="1"/>
        <v>1045727258.0899997</v>
      </c>
      <c r="E14" s="4">
        <f t="shared" si="1"/>
        <v>1147.9999999999998</v>
      </c>
      <c r="F14" s="4">
        <f t="shared" si="1"/>
        <v>686.2</v>
      </c>
      <c r="G14" s="4">
        <f t="shared" si="1"/>
        <v>18277711</v>
      </c>
      <c r="H14" s="4">
        <f t="shared" si="1"/>
        <v>0</v>
      </c>
      <c r="I14" s="4">
        <f t="shared" si="1"/>
        <v>0</v>
      </c>
      <c r="J14" s="4">
        <f t="shared" si="1"/>
        <v>155.6</v>
      </c>
      <c r="K14" s="4">
        <f t="shared" si="1"/>
        <v>0</v>
      </c>
      <c r="L14" s="4">
        <f t="shared" si="1"/>
        <v>306.2</v>
      </c>
      <c r="M14" s="4">
        <v>0</v>
      </c>
      <c r="N14" s="16">
        <f t="shared" si="1"/>
        <v>19221.479999999996</v>
      </c>
      <c r="O14" s="16">
        <f t="shared" si="1"/>
        <v>22351.859999999997</v>
      </c>
      <c r="P14" s="16">
        <f t="shared" si="1"/>
        <v>1027449547.0899997</v>
      </c>
      <c r="Q14" s="16">
        <f t="shared" si="1"/>
        <v>0</v>
      </c>
      <c r="R14" s="4">
        <f t="shared" si="1"/>
        <v>0</v>
      </c>
      <c r="S14" s="4">
        <f t="shared" si="1"/>
        <v>0</v>
      </c>
      <c r="T14" s="4">
        <f t="shared" si="1"/>
        <v>0</v>
      </c>
      <c r="U14" s="4">
        <f t="shared" si="1"/>
        <v>2550.9</v>
      </c>
      <c r="V14" s="16">
        <f t="shared" si="1"/>
        <v>155998081.69</v>
      </c>
      <c r="W14" s="16">
        <f t="shared" si="1"/>
        <v>19800.96</v>
      </c>
      <c r="X14" s="4">
        <f t="shared" si="1"/>
        <v>871451465.39999962</v>
      </c>
      <c r="Y14" s="4">
        <v>0</v>
      </c>
      <c r="Z14" s="4">
        <f t="shared" si="1"/>
        <v>14193.659999999996</v>
      </c>
      <c r="AA14" s="4">
        <f t="shared" si="1"/>
        <v>0</v>
      </c>
      <c r="AB14" s="16">
        <f t="shared" si="1"/>
        <v>0</v>
      </c>
      <c r="AC14" s="16">
        <f t="shared" si="1"/>
        <v>8158.2000000000007</v>
      </c>
      <c r="AD14" s="21"/>
      <c r="AE14" s="3"/>
    </row>
    <row r="15" spans="1:31" s="7" customFormat="1" ht="81" x14ac:dyDescent="0.45">
      <c r="A15" s="19">
        <v>1</v>
      </c>
      <c r="B15" s="6" t="s">
        <v>28</v>
      </c>
      <c r="C15" s="4">
        <v>168.1</v>
      </c>
      <c r="D15" s="4">
        <f t="shared" ref="D15:D58" si="2">G15+H15+I15+K15+P15</f>
        <v>6962394</v>
      </c>
      <c r="E15" s="4">
        <f t="shared" ref="E15:E58" si="3">F15+J15+L15</f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 t="shared" ref="N15:N58" si="4">C15-E15</f>
        <v>168.1</v>
      </c>
      <c r="O15" s="4">
        <f t="shared" ref="O15:O58" si="5">Q15+S15+U15+W15</f>
        <v>152.4</v>
      </c>
      <c r="P15" s="4">
        <f t="shared" ref="P15:P58" si="6">R15+T15+V15+X15</f>
        <v>6962394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152.4</v>
      </c>
      <c r="X15" s="4">
        <v>6962394</v>
      </c>
      <c r="Y15" s="4">
        <v>0</v>
      </c>
      <c r="Z15" s="4">
        <v>152.4</v>
      </c>
      <c r="AA15" s="4">
        <v>0</v>
      </c>
      <c r="AB15" s="4">
        <v>0</v>
      </c>
      <c r="AC15" s="4">
        <v>0</v>
      </c>
      <c r="AD15" s="23"/>
      <c r="AE15" s="24"/>
    </row>
    <row r="16" spans="1:31" s="7" customFormat="1" ht="81" x14ac:dyDescent="0.45">
      <c r="A16" s="19">
        <v>2</v>
      </c>
      <c r="B16" s="6" t="s">
        <v>29</v>
      </c>
      <c r="C16" s="4">
        <v>1128.5</v>
      </c>
      <c r="D16" s="4">
        <f t="shared" si="2"/>
        <v>53051141</v>
      </c>
      <c r="E16" s="4">
        <f t="shared" si="3"/>
        <v>248.5</v>
      </c>
      <c r="F16" s="4">
        <v>248.5</v>
      </c>
      <c r="G16" s="4">
        <v>6999269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f t="shared" si="4"/>
        <v>880</v>
      </c>
      <c r="O16" s="4">
        <f t="shared" si="5"/>
        <v>1018.8</v>
      </c>
      <c r="P16" s="4">
        <f t="shared" si="6"/>
        <v>46051872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1018.8</v>
      </c>
      <c r="X16" s="4">
        <v>46051872</v>
      </c>
      <c r="Y16" s="4">
        <v>0</v>
      </c>
      <c r="Z16" s="4">
        <v>640.29999999999995</v>
      </c>
      <c r="AA16" s="4">
        <v>0</v>
      </c>
      <c r="AB16" s="4">
        <v>0</v>
      </c>
      <c r="AC16" s="4">
        <v>378.5</v>
      </c>
      <c r="AD16" s="23"/>
      <c r="AE16" s="24"/>
    </row>
    <row r="17" spans="1:31" s="7" customFormat="1" ht="81" x14ac:dyDescent="0.45">
      <c r="A17" s="19">
        <v>3</v>
      </c>
      <c r="B17" s="6" t="s">
        <v>30</v>
      </c>
      <c r="C17" s="4">
        <v>293.5</v>
      </c>
      <c r="D17" s="4">
        <f t="shared" si="2"/>
        <v>14831697.43</v>
      </c>
      <c r="E17" s="4">
        <f t="shared" si="3"/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f t="shared" si="4"/>
        <v>293.5</v>
      </c>
      <c r="O17" s="4">
        <f t="shared" si="5"/>
        <v>333.5</v>
      </c>
      <c r="P17" s="4">
        <f t="shared" si="6"/>
        <v>14831697.43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333.5</v>
      </c>
      <c r="X17" s="4">
        <v>14831697.43</v>
      </c>
      <c r="Y17" s="4">
        <v>0</v>
      </c>
      <c r="Z17" s="4">
        <v>210.2</v>
      </c>
      <c r="AA17" s="4">
        <v>0</v>
      </c>
      <c r="AB17" s="4">
        <v>0</v>
      </c>
      <c r="AC17" s="4">
        <v>123.3</v>
      </c>
      <c r="AD17" s="23"/>
      <c r="AE17" s="24"/>
    </row>
    <row r="18" spans="1:31" s="7" customFormat="1" ht="81" x14ac:dyDescent="0.45">
      <c r="A18" s="19">
        <v>4</v>
      </c>
      <c r="B18" s="6" t="s">
        <v>31</v>
      </c>
      <c r="C18" s="4">
        <v>146.30000000000001</v>
      </c>
      <c r="D18" s="4">
        <f t="shared" si="2"/>
        <v>6546660.5</v>
      </c>
      <c r="E18" s="4">
        <f t="shared" si="3"/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f t="shared" si="4"/>
        <v>146.30000000000001</v>
      </c>
      <c r="O18" s="4">
        <f t="shared" si="5"/>
        <v>150.4</v>
      </c>
      <c r="P18" s="4">
        <f t="shared" si="6"/>
        <v>6546660.5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150.4</v>
      </c>
      <c r="X18" s="4">
        <v>6546660.5</v>
      </c>
      <c r="Y18" s="4">
        <v>0</v>
      </c>
      <c r="Z18" s="4">
        <v>150.4</v>
      </c>
      <c r="AA18" s="4">
        <v>0</v>
      </c>
      <c r="AB18" s="4">
        <v>0</v>
      </c>
      <c r="AC18" s="4">
        <v>0</v>
      </c>
      <c r="AD18" s="23"/>
      <c r="AE18" s="24"/>
    </row>
    <row r="19" spans="1:31" s="7" customFormat="1" ht="81" x14ac:dyDescent="0.45">
      <c r="A19" s="19">
        <v>5</v>
      </c>
      <c r="B19" s="6" t="s">
        <v>32</v>
      </c>
      <c r="C19" s="4">
        <v>336.93</v>
      </c>
      <c r="D19" s="4">
        <f t="shared" si="2"/>
        <v>14234628.1</v>
      </c>
      <c r="E19" s="4">
        <f t="shared" si="3"/>
        <v>46.7</v>
      </c>
      <c r="F19" s="4">
        <v>46.7</v>
      </c>
      <c r="G19" s="4">
        <v>919278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f t="shared" si="4"/>
        <v>290.23</v>
      </c>
      <c r="O19" s="4">
        <f t="shared" si="5"/>
        <v>294.8</v>
      </c>
      <c r="P19" s="4">
        <f t="shared" si="6"/>
        <v>13315350.1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294.8</v>
      </c>
      <c r="X19" s="4">
        <v>13315350.1</v>
      </c>
      <c r="Y19" s="4">
        <v>0</v>
      </c>
      <c r="Z19" s="4">
        <v>294.8</v>
      </c>
      <c r="AA19" s="4">
        <v>0</v>
      </c>
      <c r="AB19" s="4">
        <v>0</v>
      </c>
      <c r="AC19" s="4">
        <v>0</v>
      </c>
      <c r="AD19" s="23"/>
      <c r="AE19" s="24"/>
    </row>
    <row r="20" spans="1:31" s="7" customFormat="1" ht="101.25" x14ac:dyDescent="0.45">
      <c r="A20" s="19">
        <v>6</v>
      </c>
      <c r="B20" s="6" t="s">
        <v>33</v>
      </c>
      <c r="C20" s="4">
        <v>166.2</v>
      </c>
      <c r="D20" s="4">
        <f t="shared" si="2"/>
        <v>5706421.2999999998</v>
      </c>
      <c r="E20" s="4">
        <f t="shared" si="3"/>
        <v>26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26</v>
      </c>
      <c r="M20" s="4">
        <v>0</v>
      </c>
      <c r="N20" s="4">
        <f t="shared" si="4"/>
        <v>140.19999999999999</v>
      </c>
      <c r="O20" s="4">
        <f t="shared" si="5"/>
        <v>156.4</v>
      </c>
      <c r="P20" s="4">
        <f t="shared" si="6"/>
        <v>5706421.2999999998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156.4</v>
      </c>
      <c r="X20" s="4">
        <v>5706421.2999999998</v>
      </c>
      <c r="Y20" s="4">
        <v>0</v>
      </c>
      <c r="Z20" s="4">
        <v>123.5</v>
      </c>
      <c r="AA20" s="4">
        <v>0</v>
      </c>
      <c r="AB20" s="4">
        <v>0</v>
      </c>
      <c r="AC20" s="4">
        <v>32.9</v>
      </c>
      <c r="AD20" s="23"/>
      <c r="AE20" s="24"/>
    </row>
    <row r="21" spans="1:31" s="7" customFormat="1" ht="81" x14ac:dyDescent="0.45">
      <c r="A21" s="19">
        <v>7</v>
      </c>
      <c r="B21" s="6" t="s">
        <v>34</v>
      </c>
      <c r="C21" s="4">
        <v>1131.23</v>
      </c>
      <c r="D21" s="4">
        <f t="shared" si="2"/>
        <v>56193302.649999999</v>
      </c>
      <c r="E21" s="4">
        <f t="shared" si="3"/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f t="shared" si="4"/>
        <v>1131.23</v>
      </c>
      <c r="O21" s="4">
        <f t="shared" si="5"/>
        <v>1277.4000000000001</v>
      </c>
      <c r="P21" s="4">
        <f t="shared" si="6"/>
        <v>56193302.649999999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1277.4000000000001</v>
      </c>
      <c r="X21" s="4">
        <v>56193302.649999999</v>
      </c>
      <c r="Y21" s="4">
        <v>0</v>
      </c>
      <c r="Z21" s="4">
        <v>748.9</v>
      </c>
      <c r="AA21" s="4">
        <v>0</v>
      </c>
      <c r="AB21" s="4">
        <v>0</v>
      </c>
      <c r="AC21" s="4">
        <v>528.5</v>
      </c>
      <c r="AD21" s="23"/>
      <c r="AE21" s="24"/>
    </row>
    <row r="22" spans="1:31" s="7" customFormat="1" ht="81" x14ac:dyDescent="0.45">
      <c r="A22" s="19">
        <v>8</v>
      </c>
      <c r="B22" s="6" t="s">
        <v>35</v>
      </c>
      <c r="C22" s="4">
        <v>203.9</v>
      </c>
      <c r="D22" s="4">
        <f t="shared" si="2"/>
        <v>10208427.300000001</v>
      </c>
      <c r="E22" s="4">
        <f t="shared" si="3"/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f t="shared" si="4"/>
        <v>203.9</v>
      </c>
      <c r="O22" s="4">
        <f t="shared" si="5"/>
        <v>246.5</v>
      </c>
      <c r="P22" s="4">
        <f t="shared" si="6"/>
        <v>10208427.300000001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246.5</v>
      </c>
      <c r="X22" s="4">
        <v>10208427.300000001</v>
      </c>
      <c r="Y22" s="4">
        <v>0</v>
      </c>
      <c r="Z22" s="4">
        <v>179</v>
      </c>
      <c r="AA22" s="4">
        <v>0</v>
      </c>
      <c r="AB22" s="4">
        <v>0</v>
      </c>
      <c r="AC22" s="4">
        <v>67.5</v>
      </c>
      <c r="AD22" s="23"/>
      <c r="AE22" s="24"/>
    </row>
    <row r="23" spans="1:31" s="7" customFormat="1" ht="81" x14ac:dyDescent="0.45">
      <c r="A23" s="19">
        <v>9</v>
      </c>
      <c r="B23" s="6" t="s">
        <v>36</v>
      </c>
      <c r="C23" s="4">
        <v>181.93</v>
      </c>
      <c r="D23" s="4">
        <f t="shared" si="2"/>
        <v>17447274.859999999</v>
      </c>
      <c r="E23" s="4">
        <f t="shared" si="3"/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f t="shared" si="4"/>
        <v>181.93</v>
      </c>
      <c r="O23" s="4">
        <f t="shared" si="5"/>
        <v>264.10000000000002</v>
      </c>
      <c r="P23" s="4">
        <f t="shared" si="6"/>
        <v>17447274.859999999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264.10000000000002</v>
      </c>
      <c r="X23" s="4">
        <v>17447274.859999999</v>
      </c>
      <c r="Y23" s="4">
        <v>0</v>
      </c>
      <c r="Z23" s="4">
        <v>224.7</v>
      </c>
      <c r="AA23" s="4">
        <v>0</v>
      </c>
      <c r="AB23" s="4">
        <v>0</v>
      </c>
      <c r="AC23" s="4">
        <v>39.4</v>
      </c>
      <c r="AD23" s="23"/>
      <c r="AE23" s="24"/>
    </row>
    <row r="24" spans="1:31" s="7" customFormat="1" ht="60.75" x14ac:dyDescent="0.45">
      <c r="A24" s="19">
        <v>10</v>
      </c>
      <c r="B24" s="6" t="s">
        <v>37</v>
      </c>
      <c r="C24" s="4">
        <v>1445.75</v>
      </c>
      <c r="D24" s="4">
        <f t="shared" si="2"/>
        <v>96491978.059999987</v>
      </c>
      <c r="E24" s="4">
        <f t="shared" si="3"/>
        <v>377</v>
      </c>
      <c r="F24" s="4">
        <v>0</v>
      </c>
      <c r="G24" s="4">
        <v>0</v>
      </c>
      <c r="H24" s="4">
        <v>0</v>
      </c>
      <c r="I24" s="4">
        <v>0</v>
      </c>
      <c r="J24" s="4">
        <v>155.6</v>
      </c>
      <c r="K24" s="4">
        <v>0</v>
      </c>
      <c r="L24" s="4">
        <v>221.4</v>
      </c>
      <c r="M24" s="4">
        <v>0</v>
      </c>
      <c r="N24" s="4">
        <f t="shared" si="4"/>
        <v>1068.75</v>
      </c>
      <c r="O24" s="4">
        <f t="shared" si="5"/>
        <v>1307.4000000000001</v>
      </c>
      <c r="P24" s="4">
        <f t="shared" si="6"/>
        <v>96491978.059999987</v>
      </c>
      <c r="Q24" s="4">
        <v>0</v>
      </c>
      <c r="R24" s="4">
        <v>0</v>
      </c>
      <c r="S24" s="4">
        <v>0</v>
      </c>
      <c r="T24" s="4">
        <v>0</v>
      </c>
      <c r="U24" s="4">
        <v>1158.7</v>
      </c>
      <c r="V24" s="4">
        <v>83706758.819999993</v>
      </c>
      <c r="W24" s="4">
        <v>148.69999999999999</v>
      </c>
      <c r="X24" s="4">
        <v>12785219.24</v>
      </c>
      <c r="Y24" s="4">
        <v>0</v>
      </c>
      <c r="Z24" s="4">
        <v>506.8</v>
      </c>
      <c r="AA24" s="4">
        <v>0</v>
      </c>
      <c r="AB24" s="4">
        <v>0</v>
      </c>
      <c r="AC24" s="4">
        <v>800.6</v>
      </c>
      <c r="AD24" s="23"/>
      <c r="AE24" s="24"/>
    </row>
    <row r="25" spans="1:31" s="7" customFormat="1" ht="81" x14ac:dyDescent="0.45">
      <c r="A25" s="19">
        <v>11</v>
      </c>
      <c r="B25" s="6" t="s">
        <v>38</v>
      </c>
      <c r="C25" s="4">
        <v>286.2</v>
      </c>
      <c r="D25" s="4">
        <f t="shared" si="2"/>
        <v>33081040</v>
      </c>
      <c r="E25" s="4">
        <f t="shared" si="3"/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f t="shared" si="4"/>
        <v>286.2</v>
      </c>
      <c r="O25" s="4">
        <f t="shared" si="5"/>
        <v>470.8</v>
      </c>
      <c r="P25" s="4">
        <f t="shared" si="6"/>
        <v>33081040</v>
      </c>
      <c r="Q25" s="4">
        <v>0</v>
      </c>
      <c r="R25" s="4">
        <v>0</v>
      </c>
      <c r="S25" s="4">
        <v>0</v>
      </c>
      <c r="T25" s="4">
        <v>0</v>
      </c>
      <c r="U25" s="4">
        <v>470.8</v>
      </c>
      <c r="V25" s="4">
        <v>33081040</v>
      </c>
      <c r="W25" s="4">
        <v>0</v>
      </c>
      <c r="X25" s="4">
        <v>0</v>
      </c>
      <c r="Y25" s="4">
        <v>0</v>
      </c>
      <c r="Z25" s="4">
        <v>314.10000000000002</v>
      </c>
      <c r="AA25" s="4">
        <v>0</v>
      </c>
      <c r="AB25" s="4">
        <v>0</v>
      </c>
      <c r="AC25" s="4">
        <v>156.69999999999999</v>
      </c>
      <c r="AD25" s="23"/>
      <c r="AE25" s="24"/>
    </row>
    <row r="26" spans="1:31" s="7" customFormat="1" ht="81" x14ac:dyDescent="0.45">
      <c r="A26" s="19">
        <v>12</v>
      </c>
      <c r="B26" s="6" t="s">
        <v>39</v>
      </c>
      <c r="C26" s="4">
        <v>36.200000000000003</v>
      </c>
      <c r="D26" s="4">
        <f t="shared" si="2"/>
        <v>2138000</v>
      </c>
      <c r="E26" s="4">
        <f t="shared" si="3"/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f t="shared" si="4"/>
        <v>36.200000000000003</v>
      </c>
      <c r="O26" s="4">
        <f t="shared" si="5"/>
        <v>47.7</v>
      </c>
      <c r="P26" s="4">
        <f t="shared" si="6"/>
        <v>2138000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47.7</v>
      </c>
      <c r="X26" s="4">
        <v>2138000</v>
      </c>
      <c r="Y26" s="4">
        <v>0</v>
      </c>
      <c r="Z26" s="4">
        <v>47.7</v>
      </c>
      <c r="AA26" s="4">
        <v>0</v>
      </c>
      <c r="AB26" s="4">
        <v>0</v>
      </c>
      <c r="AC26" s="4">
        <v>0</v>
      </c>
      <c r="AD26" s="23"/>
      <c r="AE26" s="24"/>
    </row>
    <row r="27" spans="1:31" s="7" customFormat="1" ht="81" x14ac:dyDescent="0.45">
      <c r="A27" s="19">
        <v>13</v>
      </c>
      <c r="B27" s="6" t="s">
        <v>40</v>
      </c>
      <c r="C27" s="4">
        <v>186.3</v>
      </c>
      <c r="D27" s="4">
        <f t="shared" si="2"/>
        <v>10239568.33</v>
      </c>
      <c r="E27" s="4">
        <f t="shared" si="3"/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f t="shared" si="4"/>
        <v>186.3</v>
      </c>
      <c r="O27" s="4">
        <f t="shared" si="5"/>
        <v>201.8</v>
      </c>
      <c r="P27" s="4">
        <f t="shared" si="6"/>
        <v>10239568.33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201.8</v>
      </c>
      <c r="X27" s="4">
        <v>10239568.33</v>
      </c>
      <c r="Y27" s="4">
        <v>0</v>
      </c>
      <c r="Z27" s="4">
        <v>201.8</v>
      </c>
      <c r="AA27" s="4">
        <v>0</v>
      </c>
      <c r="AB27" s="4">
        <v>0</v>
      </c>
      <c r="AC27" s="4">
        <v>0</v>
      </c>
      <c r="AD27" s="23"/>
      <c r="AE27" s="24"/>
    </row>
    <row r="28" spans="1:31" s="7" customFormat="1" ht="81" x14ac:dyDescent="0.45">
      <c r="A28" s="19">
        <v>14</v>
      </c>
      <c r="B28" s="6" t="s">
        <v>41</v>
      </c>
      <c r="C28" s="4">
        <v>466.44</v>
      </c>
      <c r="D28" s="4">
        <f t="shared" si="2"/>
        <v>20741613.800000001</v>
      </c>
      <c r="E28" s="4">
        <f t="shared" si="3"/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f t="shared" si="4"/>
        <v>466.44</v>
      </c>
      <c r="O28" s="4">
        <f t="shared" si="5"/>
        <v>492.05</v>
      </c>
      <c r="P28" s="4">
        <f t="shared" si="6"/>
        <v>20741613.800000001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492.05</v>
      </c>
      <c r="X28" s="4">
        <v>20741613.800000001</v>
      </c>
      <c r="Y28" s="4">
        <v>0</v>
      </c>
      <c r="Z28" s="4">
        <v>309.75</v>
      </c>
      <c r="AA28" s="4">
        <v>0</v>
      </c>
      <c r="AB28" s="4">
        <v>0</v>
      </c>
      <c r="AC28" s="4">
        <v>182.3</v>
      </c>
      <c r="AD28" s="23"/>
      <c r="AE28" s="24"/>
    </row>
    <row r="29" spans="1:31" s="7" customFormat="1" ht="81" x14ac:dyDescent="0.45">
      <c r="A29" s="19">
        <v>15</v>
      </c>
      <c r="B29" s="6" t="s">
        <v>42</v>
      </c>
      <c r="C29" s="4">
        <v>412.4</v>
      </c>
      <c r="D29" s="4">
        <f t="shared" si="2"/>
        <v>19196569.399999999</v>
      </c>
      <c r="E29" s="4">
        <f t="shared" si="3"/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f t="shared" si="4"/>
        <v>412.4</v>
      </c>
      <c r="O29" s="4">
        <f t="shared" si="5"/>
        <v>431.1</v>
      </c>
      <c r="P29" s="4">
        <f t="shared" si="6"/>
        <v>19196569.399999999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431.1</v>
      </c>
      <c r="X29" s="4">
        <v>19196569.399999999</v>
      </c>
      <c r="Y29" s="4">
        <v>0</v>
      </c>
      <c r="Z29" s="4">
        <v>282</v>
      </c>
      <c r="AA29" s="4">
        <v>0</v>
      </c>
      <c r="AB29" s="4">
        <v>0</v>
      </c>
      <c r="AC29" s="4">
        <v>149.1</v>
      </c>
      <c r="AD29" s="23"/>
      <c r="AE29" s="24"/>
    </row>
    <row r="30" spans="1:31" s="7" customFormat="1" ht="60.75" x14ac:dyDescent="0.45">
      <c r="A30" s="19">
        <v>16</v>
      </c>
      <c r="B30" s="6" t="s">
        <v>43</v>
      </c>
      <c r="C30" s="4">
        <v>1038.9100000000001</v>
      </c>
      <c r="D30" s="4">
        <f t="shared" si="2"/>
        <v>84147113.519999996</v>
      </c>
      <c r="E30" s="4">
        <f t="shared" si="3"/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4"/>
        <v>1038.9100000000001</v>
      </c>
      <c r="O30" s="4">
        <f t="shared" si="5"/>
        <v>1278.2</v>
      </c>
      <c r="P30" s="4">
        <f t="shared" si="6"/>
        <v>84147113.519999996</v>
      </c>
      <c r="Q30" s="4">
        <v>0</v>
      </c>
      <c r="R30" s="4">
        <v>0</v>
      </c>
      <c r="S30" s="4">
        <v>0</v>
      </c>
      <c r="T30" s="4">
        <v>0</v>
      </c>
      <c r="U30" s="4">
        <v>45.9</v>
      </c>
      <c r="V30" s="4">
        <v>2086436</v>
      </c>
      <c r="W30" s="4">
        <v>1232.3</v>
      </c>
      <c r="X30" s="4">
        <v>82060677.519999996</v>
      </c>
      <c r="Y30" s="4">
        <v>0</v>
      </c>
      <c r="Z30" s="4">
        <v>1010.6</v>
      </c>
      <c r="AA30" s="4">
        <v>0</v>
      </c>
      <c r="AB30" s="4">
        <v>0</v>
      </c>
      <c r="AC30" s="4">
        <v>267.60000000000002</v>
      </c>
      <c r="AD30" s="23"/>
      <c r="AE30" s="24"/>
    </row>
    <row r="31" spans="1:31" s="7" customFormat="1" ht="81" x14ac:dyDescent="0.45">
      <c r="A31" s="19">
        <v>17</v>
      </c>
      <c r="B31" s="6" t="s">
        <v>44</v>
      </c>
      <c r="C31" s="4">
        <v>421.7</v>
      </c>
      <c r="D31" s="4">
        <f t="shared" si="2"/>
        <v>20085048.640000001</v>
      </c>
      <c r="E31" s="4">
        <f t="shared" si="3"/>
        <v>35.5</v>
      </c>
      <c r="F31" s="4">
        <v>35.5</v>
      </c>
      <c r="G31" s="4">
        <v>1049650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4"/>
        <v>386.2</v>
      </c>
      <c r="O31" s="4">
        <f t="shared" si="5"/>
        <v>456.7</v>
      </c>
      <c r="P31" s="4">
        <f t="shared" si="6"/>
        <v>19035398.640000001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456.7</v>
      </c>
      <c r="X31" s="4">
        <v>19035398.640000001</v>
      </c>
      <c r="Y31" s="4">
        <v>0</v>
      </c>
      <c r="Z31" s="4">
        <v>290.89999999999998</v>
      </c>
      <c r="AA31" s="4">
        <v>0</v>
      </c>
      <c r="AB31" s="4">
        <v>0</v>
      </c>
      <c r="AC31" s="4">
        <v>165.8</v>
      </c>
      <c r="AD31" s="23"/>
      <c r="AE31" s="24"/>
    </row>
    <row r="32" spans="1:31" s="7" customFormat="1" ht="81" x14ac:dyDescent="0.45">
      <c r="A32" s="19">
        <v>18</v>
      </c>
      <c r="B32" s="6" t="s">
        <v>45</v>
      </c>
      <c r="C32" s="4">
        <v>519.4</v>
      </c>
      <c r="D32" s="4">
        <f t="shared" si="2"/>
        <v>26546460.300000001</v>
      </c>
      <c r="E32" s="4">
        <f t="shared" si="3"/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f t="shared" si="4"/>
        <v>519.4</v>
      </c>
      <c r="O32" s="4">
        <f t="shared" si="5"/>
        <v>668.4</v>
      </c>
      <c r="P32" s="4">
        <f t="shared" si="6"/>
        <v>26546460.300000001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668.4</v>
      </c>
      <c r="X32" s="4">
        <v>26546460.300000001</v>
      </c>
      <c r="Y32" s="4">
        <v>0</v>
      </c>
      <c r="Z32" s="4">
        <v>300.3</v>
      </c>
      <c r="AA32" s="4">
        <v>0</v>
      </c>
      <c r="AB32" s="4">
        <v>0</v>
      </c>
      <c r="AC32" s="4">
        <v>368.1</v>
      </c>
      <c r="AD32" s="23"/>
      <c r="AE32" s="24"/>
    </row>
    <row r="33" spans="1:31" s="7" customFormat="1" ht="81" x14ac:dyDescent="0.45">
      <c r="A33" s="19">
        <v>19</v>
      </c>
      <c r="B33" s="6" t="s">
        <v>46</v>
      </c>
      <c r="C33" s="4">
        <v>546.84</v>
      </c>
      <c r="D33" s="4">
        <f t="shared" si="2"/>
        <v>35200000</v>
      </c>
      <c r="E33" s="4">
        <f t="shared" si="3"/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f t="shared" si="4"/>
        <v>546.84</v>
      </c>
      <c r="O33" s="4">
        <f t="shared" si="5"/>
        <v>672.9</v>
      </c>
      <c r="P33" s="4">
        <f t="shared" si="6"/>
        <v>35200000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672.9</v>
      </c>
      <c r="X33" s="4">
        <v>35200000</v>
      </c>
      <c r="Y33" s="4">
        <v>0</v>
      </c>
      <c r="Z33" s="4">
        <v>506.6</v>
      </c>
      <c r="AA33" s="4">
        <v>0</v>
      </c>
      <c r="AB33" s="4">
        <v>0</v>
      </c>
      <c r="AC33" s="4">
        <v>166.3</v>
      </c>
      <c r="AD33" s="23"/>
      <c r="AE33" s="24"/>
    </row>
    <row r="34" spans="1:31" s="7" customFormat="1" ht="81" x14ac:dyDescent="0.45">
      <c r="A34" s="19">
        <v>20</v>
      </c>
      <c r="B34" s="6" t="s">
        <v>47</v>
      </c>
      <c r="C34" s="4">
        <v>1017.83</v>
      </c>
      <c r="D34" s="4">
        <f t="shared" si="2"/>
        <v>60312197.159999996</v>
      </c>
      <c r="E34" s="4">
        <f t="shared" si="3"/>
        <v>9.3000000000000007</v>
      </c>
      <c r="F34" s="4">
        <v>9.3000000000000007</v>
      </c>
      <c r="G34" s="4">
        <v>374000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f t="shared" si="4"/>
        <v>1008.5300000000001</v>
      </c>
      <c r="O34" s="4">
        <f t="shared" si="5"/>
        <v>1229.8</v>
      </c>
      <c r="P34" s="4">
        <f t="shared" si="6"/>
        <v>59938197.159999996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1229.8</v>
      </c>
      <c r="X34" s="4">
        <v>59938197.159999996</v>
      </c>
      <c r="Y34" s="4">
        <v>0</v>
      </c>
      <c r="Z34" s="4">
        <v>703.8</v>
      </c>
      <c r="AA34" s="4">
        <v>0</v>
      </c>
      <c r="AB34" s="4">
        <v>0</v>
      </c>
      <c r="AC34" s="4">
        <v>526</v>
      </c>
      <c r="AD34" s="23"/>
      <c r="AE34" s="24"/>
    </row>
    <row r="35" spans="1:31" s="7" customFormat="1" ht="81" x14ac:dyDescent="0.45">
      <c r="A35" s="19">
        <v>21</v>
      </c>
      <c r="B35" s="6" t="s">
        <v>48</v>
      </c>
      <c r="C35" s="4">
        <v>390.8</v>
      </c>
      <c r="D35" s="4">
        <f t="shared" si="2"/>
        <v>13084819.9</v>
      </c>
      <c r="E35" s="4">
        <f t="shared" si="3"/>
        <v>109</v>
      </c>
      <c r="F35" s="4">
        <v>109</v>
      </c>
      <c r="G35" s="4">
        <v>1847000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f t="shared" si="4"/>
        <v>281.8</v>
      </c>
      <c r="O35" s="4">
        <f t="shared" si="5"/>
        <v>306.3</v>
      </c>
      <c r="P35" s="4">
        <f t="shared" si="6"/>
        <v>11237819.9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306.3</v>
      </c>
      <c r="X35" s="4">
        <v>11237819.9</v>
      </c>
      <c r="Y35" s="4">
        <v>0</v>
      </c>
      <c r="Z35" s="4">
        <v>127.8</v>
      </c>
      <c r="AA35" s="4">
        <v>0</v>
      </c>
      <c r="AB35" s="4">
        <v>0</v>
      </c>
      <c r="AC35" s="4">
        <v>178.5</v>
      </c>
      <c r="AD35" s="23"/>
      <c r="AE35" s="24"/>
    </row>
    <row r="36" spans="1:31" s="7" customFormat="1" ht="81" x14ac:dyDescent="0.45">
      <c r="A36" s="19">
        <v>22</v>
      </c>
      <c r="B36" s="6" t="s">
        <v>49</v>
      </c>
      <c r="C36" s="4">
        <v>412.07</v>
      </c>
      <c r="D36" s="4">
        <f t="shared" si="2"/>
        <v>27818650</v>
      </c>
      <c r="E36" s="4">
        <f t="shared" si="3"/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f t="shared" si="4"/>
        <v>412.07</v>
      </c>
      <c r="O36" s="4">
        <f t="shared" si="5"/>
        <v>478.2</v>
      </c>
      <c r="P36" s="4">
        <f t="shared" si="6"/>
        <v>27818650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478.2</v>
      </c>
      <c r="X36" s="4">
        <v>27818650</v>
      </c>
      <c r="Y36" s="4">
        <v>0</v>
      </c>
      <c r="Z36" s="4">
        <v>163.6</v>
      </c>
      <c r="AA36" s="4">
        <v>0</v>
      </c>
      <c r="AB36" s="4">
        <v>0</v>
      </c>
      <c r="AC36" s="4">
        <v>314.60000000000002</v>
      </c>
      <c r="AD36" s="23"/>
      <c r="AE36" s="24"/>
    </row>
    <row r="37" spans="1:31" s="7" customFormat="1" ht="81" x14ac:dyDescent="0.45">
      <c r="A37" s="19">
        <v>23</v>
      </c>
      <c r="B37" s="6" t="s">
        <v>50</v>
      </c>
      <c r="C37" s="4">
        <v>359.8</v>
      </c>
      <c r="D37" s="4">
        <f t="shared" si="2"/>
        <v>12972420.619999999</v>
      </c>
      <c r="E37" s="4">
        <f t="shared" si="3"/>
        <v>81.400000000000006</v>
      </c>
      <c r="F37" s="4">
        <v>81.400000000000006</v>
      </c>
      <c r="G37" s="4">
        <v>1584858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f t="shared" si="4"/>
        <v>278.39999999999998</v>
      </c>
      <c r="O37" s="4">
        <f t="shared" si="5"/>
        <v>293.2</v>
      </c>
      <c r="P37" s="4">
        <f t="shared" si="6"/>
        <v>11387562.619999999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293.2</v>
      </c>
      <c r="X37" s="4">
        <v>11387562.619999999</v>
      </c>
      <c r="Y37" s="4">
        <v>0</v>
      </c>
      <c r="Z37" s="4">
        <v>293.2</v>
      </c>
      <c r="AA37" s="4">
        <v>0</v>
      </c>
      <c r="AB37" s="4">
        <v>0</v>
      </c>
      <c r="AC37" s="4">
        <v>0</v>
      </c>
      <c r="AD37" s="23"/>
      <c r="AE37" s="24"/>
    </row>
    <row r="38" spans="1:31" s="7" customFormat="1" ht="81" x14ac:dyDescent="0.45">
      <c r="A38" s="19">
        <v>24</v>
      </c>
      <c r="B38" s="6" t="s">
        <v>51</v>
      </c>
      <c r="C38" s="4">
        <v>879.2</v>
      </c>
      <c r="D38" s="4">
        <f t="shared" si="2"/>
        <v>40870988.159999996</v>
      </c>
      <c r="E38" s="4">
        <f t="shared" si="3"/>
        <v>112.7</v>
      </c>
      <c r="F38" s="4">
        <v>112.7</v>
      </c>
      <c r="G38" s="4">
        <v>4414000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f t="shared" si="4"/>
        <v>766.5</v>
      </c>
      <c r="O38" s="4">
        <f t="shared" si="5"/>
        <v>896.6</v>
      </c>
      <c r="P38" s="4">
        <f t="shared" si="6"/>
        <v>36456988.159999996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896.6</v>
      </c>
      <c r="X38" s="4">
        <v>36456988.159999996</v>
      </c>
      <c r="Y38" s="4">
        <v>0</v>
      </c>
      <c r="Z38" s="4">
        <v>552.29999999999995</v>
      </c>
      <c r="AA38" s="4">
        <v>0</v>
      </c>
      <c r="AB38" s="4">
        <v>0</v>
      </c>
      <c r="AC38" s="4">
        <v>344.3</v>
      </c>
      <c r="AD38" s="23"/>
      <c r="AE38" s="24"/>
    </row>
    <row r="39" spans="1:31" s="7" customFormat="1" ht="81" x14ac:dyDescent="0.45">
      <c r="A39" s="19">
        <v>25</v>
      </c>
      <c r="B39" s="6" t="s">
        <v>52</v>
      </c>
      <c r="C39" s="4">
        <v>1205.0999999999999</v>
      </c>
      <c r="D39" s="4">
        <f t="shared" si="2"/>
        <v>59872625</v>
      </c>
      <c r="E39" s="4">
        <f t="shared" si="3"/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f t="shared" si="4"/>
        <v>1205.0999999999999</v>
      </c>
      <c r="O39" s="4">
        <f t="shared" si="5"/>
        <v>1372.5</v>
      </c>
      <c r="P39" s="4">
        <f t="shared" si="6"/>
        <v>59872625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1372.5</v>
      </c>
      <c r="X39" s="4">
        <v>59872625</v>
      </c>
      <c r="Y39" s="4">
        <v>0</v>
      </c>
      <c r="Z39" s="4">
        <v>693.5</v>
      </c>
      <c r="AA39" s="4">
        <v>0</v>
      </c>
      <c r="AB39" s="4">
        <v>0</v>
      </c>
      <c r="AC39" s="4">
        <v>679</v>
      </c>
      <c r="AD39" s="23"/>
      <c r="AE39" s="24"/>
    </row>
    <row r="40" spans="1:31" s="7" customFormat="1" ht="81" x14ac:dyDescent="0.45">
      <c r="A40" s="19">
        <v>26</v>
      </c>
      <c r="B40" s="6" t="s">
        <v>53</v>
      </c>
      <c r="C40" s="4">
        <v>115.1</v>
      </c>
      <c r="D40" s="4">
        <f t="shared" si="2"/>
        <v>7114068.2000000002</v>
      </c>
      <c r="E40" s="4">
        <f t="shared" si="3"/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f t="shared" si="4"/>
        <v>115.1</v>
      </c>
      <c r="O40" s="4">
        <f t="shared" si="5"/>
        <v>160.30000000000001</v>
      </c>
      <c r="P40" s="4">
        <f t="shared" si="6"/>
        <v>7114068.2000000002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160.30000000000001</v>
      </c>
      <c r="X40" s="4">
        <v>7114068.2000000002</v>
      </c>
      <c r="Y40" s="4">
        <v>0</v>
      </c>
      <c r="Z40" s="4">
        <v>160.30000000000001</v>
      </c>
      <c r="AA40" s="4">
        <v>0</v>
      </c>
      <c r="AB40" s="4">
        <v>0</v>
      </c>
      <c r="AC40" s="4">
        <v>0</v>
      </c>
      <c r="AD40" s="23"/>
      <c r="AE40" s="24"/>
    </row>
    <row r="41" spans="1:31" s="7" customFormat="1" ht="81" x14ac:dyDescent="0.45">
      <c r="A41" s="19">
        <v>27</v>
      </c>
      <c r="B41" s="6" t="s">
        <v>54</v>
      </c>
      <c r="C41" s="4">
        <v>382.8</v>
      </c>
      <c r="D41" s="4">
        <f t="shared" si="2"/>
        <v>14527830</v>
      </c>
      <c r="E41" s="4">
        <f t="shared" si="3"/>
        <v>58.8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58.8</v>
      </c>
      <c r="M41" s="4">
        <v>0</v>
      </c>
      <c r="N41" s="4">
        <f t="shared" si="4"/>
        <v>324</v>
      </c>
      <c r="O41" s="4">
        <f t="shared" si="5"/>
        <v>328</v>
      </c>
      <c r="P41" s="4">
        <f t="shared" si="6"/>
        <v>14527830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328</v>
      </c>
      <c r="X41" s="4">
        <v>14527830</v>
      </c>
      <c r="Y41" s="4">
        <v>0</v>
      </c>
      <c r="Z41" s="4">
        <v>195.5</v>
      </c>
      <c r="AA41" s="4">
        <v>0</v>
      </c>
      <c r="AB41" s="4">
        <v>0</v>
      </c>
      <c r="AC41" s="4">
        <v>132.5</v>
      </c>
      <c r="AD41" s="23"/>
      <c r="AE41" s="24"/>
    </row>
    <row r="42" spans="1:31" s="7" customFormat="1" ht="81" x14ac:dyDescent="0.45">
      <c r="A42" s="19">
        <v>28</v>
      </c>
      <c r="B42" s="6" t="s">
        <v>55</v>
      </c>
      <c r="C42" s="4">
        <v>160.69999999999999</v>
      </c>
      <c r="D42" s="4">
        <f t="shared" si="2"/>
        <v>8588780</v>
      </c>
      <c r="E42" s="4">
        <f t="shared" si="3"/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f t="shared" si="4"/>
        <v>160.69999999999999</v>
      </c>
      <c r="O42" s="4">
        <f t="shared" si="5"/>
        <v>206.3</v>
      </c>
      <c r="P42" s="4">
        <f t="shared" si="6"/>
        <v>8588780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206.3</v>
      </c>
      <c r="X42" s="4">
        <v>8588780</v>
      </c>
      <c r="Y42" s="4">
        <v>0</v>
      </c>
      <c r="Z42" s="4">
        <v>206.3</v>
      </c>
      <c r="AA42" s="4">
        <v>0</v>
      </c>
      <c r="AB42" s="4">
        <v>0</v>
      </c>
      <c r="AC42" s="4">
        <v>0</v>
      </c>
      <c r="AD42" s="23"/>
      <c r="AE42" s="24"/>
    </row>
    <row r="43" spans="1:31" s="7" customFormat="1" ht="60.75" x14ac:dyDescent="0.45">
      <c r="A43" s="19">
        <v>29</v>
      </c>
      <c r="B43" s="6" t="s">
        <v>56</v>
      </c>
      <c r="C43" s="4">
        <v>580.9</v>
      </c>
      <c r="D43" s="4">
        <f t="shared" si="2"/>
        <v>24920959.420000002</v>
      </c>
      <c r="E43" s="4">
        <f t="shared" si="3"/>
        <v>25.1</v>
      </c>
      <c r="F43" s="4">
        <v>25.1</v>
      </c>
      <c r="G43" s="4">
        <v>477000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f t="shared" si="4"/>
        <v>555.79999999999995</v>
      </c>
      <c r="O43" s="4">
        <f t="shared" si="5"/>
        <v>651.30999999999995</v>
      </c>
      <c r="P43" s="4">
        <f t="shared" si="6"/>
        <v>24443959.420000002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651.30999999999995</v>
      </c>
      <c r="X43" s="4">
        <v>24443959.420000002</v>
      </c>
      <c r="Y43" s="4">
        <v>0</v>
      </c>
      <c r="Z43" s="4">
        <v>516.21</v>
      </c>
      <c r="AA43" s="4">
        <v>0</v>
      </c>
      <c r="AB43" s="4">
        <v>0</v>
      </c>
      <c r="AC43" s="4">
        <v>135.1</v>
      </c>
      <c r="AD43" s="23"/>
      <c r="AE43" s="24"/>
    </row>
    <row r="44" spans="1:31" s="7" customFormat="1" ht="81" x14ac:dyDescent="0.45">
      <c r="A44" s="19">
        <v>30</v>
      </c>
      <c r="B44" s="6" t="s">
        <v>57</v>
      </c>
      <c r="C44" s="4">
        <v>783.9</v>
      </c>
      <c r="D44" s="4">
        <f t="shared" si="2"/>
        <v>32087019.579999998</v>
      </c>
      <c r="E44" s="4">
        <f t="shared" si="3"/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f t="shared" si="4"/>
        <v>783.9</v>
      </c>
      <c r="O44" s="4">
        <f t="shared" si="5"/>
        <v>896.6</v>
      </c>
      <c r="P44" s="4">
        <f t="shared" si="6"/>
        <v>32087019.579999998</v>
      </c>
      <c r="Q44" s="4">
        <v>0</v>
      </c>
      <c r="R44" s="4">
        <v>0</v>
      </c>
      <c r="S44" s="4">
        <v>0</v>
      </c>
      <c r="T44" s="4">
        <v>0</v>
      </c>
      <c r="U44" s="4">
        <v>67.599999999999994</v>
      </c>
      <c r="V44" s="4">
        <v>2425632.4</v>
      </c>
      <c r="W44" s="4">
        <v>829</v>
      </c>
      <c r="X44" s="4">
        <v>29661387.18</v>
      </c>
      <c r="Y44" s="4">
        <v>0</v>
      </c>
      <c r="Z44" s="4">
        <v>691.5</v>
      </c>
      <c r="AA44" s="4">
        <v>0</v>
      </c>
      <c r="AB44" s="4">
        <v>0</v>
      </c>
      <c r="AC44" s="4">
        <v>205.1</v>
      </c>
      <c r="AD44" s="23"/>
      <c r="AE44" s="24"/>
    </row>
    <row r="45" spans="1:31" s="7" customFormat="1" ht="81" x14ac:dyDescent="0.45">
      <c r="A45" s="19">
        <v>31</v>
      </c>
      <c r="B45" s="6" t="s">
        <v>58</v>
      </c>
      <c r="C45" s="4">
        <v>958.8</v>
      </c>
      <c r="D45" s="4">
        <f t="shared" si="2"/>
        <v>32655528.640000001</v>
      </c>
      <c r="E45" s="4">
        <f t="shared" si="3"/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f t="shared" si="4"/>
        <v>958.8</v>
      </c>
      <c r="O45" s="4">
        <f t="shared" si="5"/>
        <v>1001.9</v>
      </c>
      <c r="P45" s="4">
        <f t="shared" si="6"/>
        <v>32655528.640000001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1001.9</v>
      </c>
      <c r="X45" s="4">
        <v>32655528.640000001</v>
      </c>
      <c r="Y45" s="4">
        <v>0</v>
      </c>
      <c r="Z45" s="4">
        <v>780.4</v>
      </c>
      <c r="AA45" s="4">
        <v>0</v>
      </c>
      <c r="AB45" s="4">
        <v>0</v>
      </c>
      <c r="AC45" s="4">
        <v>221.5</v>
      </c>
      <c r="AD45" s="23"/>
      <c r="AE45" s="24"/>
    </row>
    <row r="46" spans="1:31" s="7" customFormat="1" ht="81" x14ac:dyDescent="0.45">
      <c r="A46" s="19">
        <v>32</v>
      </c>
      <c r="B46" s="6" t="s">
        <v>59</v>
      </c>
      <c r="C46" s="4">
        <v>743.8</v>
      </c>
      <c r="D46" s="4">
        <f t="shared" si="2"/>
        <v>38962243.890000001</v>
      </c>
      <c r="E46" s="4">
        <f t="shared" si="3"/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f t="shared" si="4"/>
        <v>743.8</v>
      </c>
      <c r="O46" s="4">
        <f t="shared" si="5"/>
        <v>991.8</v>
      </c>
      <c r="P46" s="4">
        <f t="shared" si="6"/>
        <v>38962243.890000001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991.8</v>
      </c>
      <c r="X46" s="4">
        <v>38962243.890000001</v>
      </c>
      <c r="Y46" s="4">
        <v>0</v>
      </c>
      <c r="Z46" s="4">
        <v>422.7</v>
      </c>
      <c r="AA46" s="4">
        <v>0</v>
      </c>
      <c r="AB46" s="4">
        <v>0</v>
      </c>
      <c r="AC46" s="4">
        <v>569.1</v>
      </c>
      <c r="AD46" s="23"/>
      <c r="AE46" s="24"/>
    </row>
    <row r="47" spans="1:31" s="7" customFormat="1" ht="81" x14ac:dyDescent="0.45">
      <c r="A47" s="19">
        <v>33</v>
      </c>
      <c r="B47" s="6" t="s">
        <v>60</v>
      </c>
      <c r="C47" s="4">
        <v>722.4</v>
      </c>
      <c r="D47" s="4">
        <f t="shared" si="2"/>
        <v>27591273.640000001</v>
      </c>
      <c r="E47" s="4">
        <f t="shared" si="3"/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f t="shared" si="4"/>
        <v>722.4</v>
      </c>
      <c r="O47" s="4">
        <f t="shared" si="5"/>
        <v>793.09999999999991</v>
      </c>
      <c r="P47" s="4">
        <f t="shared" si="6"/>
        <v>27591273.640000001</v>
      </c>
      <c r="Q47" s="4">
        <v>0</v>
      </c>
      <c r="R47" s="4">
        <v>0</v>
      </c>
      <c r="S47" s="4">
        <v>0</v>
      </c>
      <c r="T47" s="4">
        <v>0</v>
      </c>
      <c r="U47" s="4">
        <v>542.79999999999995</v>
      </c>
      <c r="V47" s="4">
        <v>18813182.969999999</v>
      </c>
      <c r="W47" s="4">
        <v>250.3</v>
      </c>
      <c r="X47" s="4">
        <v>8778090.6699999999</v>
      </c>
      <c r="Y47" s="4">
        <v>0</v>
      </c>
      <c r="Z47" s="4">
        <v>554.79999999999995</v>
      </c>
      <c r="AA47" s="4">
        <v>0</v>
      </c>
      <c r="AB47" s="4">
        <v>0</v>
      </c>
      <c r="AC47" s="4">
        <v>238.3</v>
      </c>
      <c r="AD47" s="23"/>
      <c r="AE47" s="24"/>
    </row>
    <row r="48" spans="1:31" s="7" customFormat="1" ht="81" x14ac:dyDescent="0.45">
      <c r="A48" s="19">
        <v>34</v>
      </c>
      <c r="B48" s="6" t="s">
        <v>61</v>
      </c>
      <c r="C48" s="4">
        <v>200.7</v>
      </c>
      <c r="D48" s="4">
        <f t="shared" si="2"/>
        <v>13788090</v>
      </c>
      <c r="E48" s="4">
        <f t="shared" si="3"/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f t="shared" si="4"/>
        <v>200.7</v>
      </c>
      <c r="O48" s="4">
        <f t="shared" si="5"/>
        <v>212.1</v>
      </c>
      <c r="P48" s="4">
        <f t="shared" si="6"/>
        <v>13788090</v>
      </c>
      <c r="Q48" s="4">
        <v>0</v>
      </c>
      <c r="R48" s="4">
        <v>0</v>
      </c>
      <c r="S48" s="4">
        <v>0</v>
      </c>
      <c r="T48" s="4">
        <v>0</v>
      </c>
      <c r="U48" s="4">
        <v>212.1</v>
      </c>
      <c r="V48" s="4">
        <v>13788090</v>
      </c>
      <c r="W48" s="4">
        <v>0</v>
      </c>
      <c r="X48" s="4">
        <v>0</v>
      </c>
      <c r="Y48" s="4">
        <v>0</v>
      </c>
      <c r="Z48" s="4">
        <v>212.1</v>
      </c>
      <c r="AA48" s="4">
        <v>0</v>
      </c>
      <c r="AB48" s="4">
        <v>0</v>
      </c>
      <c r="AC48" s="4">
        <v>0</v>
      </c>
      <c r="AD48" s="23"/>
      <c r="AE48" s="24"/>
    </row>
    <row r="49" spans="1:31" s="7" customFormat="1" ht="81" x14ac:dyDescent="0.45">
      <c r="A49" s="19">
        <v>35</v>
      </c>
      <c r="B49" s="6" t="s">
        <v>62</v>
      </c>
      <c r="C49" s="4">
        <v>289.10000000000002</v>
      </c>
      <c r="D49" s="4">
        <f t="shared" si="2"/>
        <v>13952784.970000001</v>
      </c>
      <c r="E49" s="4">
        <f t="shared" si="3"/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f t="shared" si="4"/>
        <v>289.10000000000002</v>
      </c>
      <c r="O49" s="4">
        <f t="shared" si="5"/>
        <v>328.5</v>
      </c>
      <c r="P49" s="4">
        <f t="shared" si="6"/>
        <v>13952784.970000001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328.5</v>
      </c>
      <c r="X49" s="4">
        <v>13952784.970000001</v>
      </c>
      <c r="Y49" s="4">
        <v>0</v>
      </c>
      <c r="Z49" s="4">
        <v>328.5</v>
      </c>
      <c r="AA49" s="4">
        <v>0</v>
      </c>
      <c r="AB49" s="4">
        <v>0</v>
      </c>
      <c r="AC49" s="4">
        <v>0</v>
      </c>
      <c r="AD49" s="23"/>
      <c r="AE49" s="24"/>
    </row>
    <row r="50" spans="1:31" s="7" customFormat="1" ht="81" x14ac:dyDescent="0.45">
      <c r="A50" s="19">
        <v>36</v>
      </c>
      <c r="B50" s="6" t="s">
        <v>63</v>
      </c>
      <c r="C50" s="4">
        <v>316.3</v>
      </c>
      <c r="D50" s="4">
        <f t="shared" si="2"/>
        <v>16137094.92</v>
      </c>
      <c r="E50" s="4">
        <f t="shared" si="3"/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f t="shared" si="4"/>
        <v>316.3</v>
      </c>
      <c r="O50" s="4">
        <f t="shared" si="5"/>
        <v>377.7</v>
      </c>
      <c r="P50" s="4">
        <f t="shared" si="6"/>
        <v>16137094.92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377.7</v>
      </c>
      <c r="X50" s="4">
        <v>16137094.92</v>
      </c>
      <c r="Y50" s="4">
        <v>0</v>
      </c>
      <c r="Z50" s="4">
        <v>134.30000000000001</v>
      </c>
      <c r="AA50" s="4">
        <v>0</v>
      </c>
      <c r="AB50" s="4">
        <v>0</v>
      </c>
      <c r="AC50" s="4">
        <v>243.4</v>
      </c>
      <c r="AD50" s="23"/>
      <c r="AE50" s="24"/>
    </row>
    <row r="51" spans="1:31" s="7" customFormat="1" ht="81" x14ac:dyDescent="0.45">
      <c r="A51" s="19">
        <v>37</v>
      </c>
      <c r="B51" s="6" t="s">
        <v>64</v>
      </c>
      <c r="C51" s="4">
        <v>272.95</v>
      </c>
      <c r="D51" s="4">
        <f t="shared" si="2"/>
        <v>14418133.92</v>
      </c>
      <c r="E51" s="4">
        <f t="shared" si="3"/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f t="shared" si="4"/>
        <v>272.95</v>
      </c>
      <c r="O51" s="4">
        <f t="shared" si="5"/>
        <v>382.7</v>
      </c>
      <c r="P51" s="4">
        <f t="shared" si="6"/>
        <v>14418133.92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f>412.4-29.7</f>
        <v>382.7</v>
      </c>
      <c r="X51" s="4">
        <v>14418133.92</v>
      </c>
      <c r="Y51" s="4">
        <v>0</v>
      </c>
      <c r="Z51" s="4">
        <v>88</v>
      </c>
      <c r="AA51" s="4">
        <v>0</v>
      </c>
      <c r="AB51" s="4">
        <v>0</v>
      </c>
      <c r="AC51" s="4">
        <f>324.4-29.7</f>
        <v>294.7</v>
      </c>
      <c r="AD51" s="23"/>
      <c r="AE51" s="24"/>
    </row>
    <row r="52" spans="1:31" s="7" customFormat="1" ht="81" x14ac:dyDescent="0.45">
      <c r="A52" s="19">
        <v>38</v>
      </c>
      <c r="B52" s="6" t="s">
        <v>65</v>
      </c>
      <c r="C52" s="4">
        <v>78.599999999999994</v>
      </c>
      <c r="D52" s="4">
        <f t="shared" si="2"/>
        <v>2184806.11</v>
      </c>
      <c r="E52" s="4">
        <f t="shared" si="3"/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f t="shared" si="4"/>
        <v>78.599999999999994</v>
      </c>
      <c r="O52" s="4">
        <f t="shared" si="5"/>
        <v>89.3</v>
      </c>
      <c r="P52" s="4">
        <f t="shared" si="6"/>
        <v>2184806.11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89.3</v>
      </c>
      <c r="X52" s="4">
        <v>2184806.11</v>
      </c>
      <c r="Y52" s="4">
        <v>0</v>
      </c>
      <c r="Z52" s="4">
        <v>89.3</v>
      </c>
      <c r="AA52" s="4">
        <v>0</v>
      </c>
      <c r="AB52" s="4">
        <v>0</v>
      </c>
      <c r="AC52" s="4">
        <v>0</v>
      </c>
      <c r="AD52" s="23"/>
      <c r="AE52" s="24"/>
    </row>
    <row r="53" spans="1:31" s="7" customFormat="1" ht="81" x14ac:dyDescent="0.45">
      <c r="A53" s="19">
        <v>39</v>
      </c>
      <c r="B53" s="6" t="s">
        <v>66</v>
      </c>
      <c r="C53" s="4">
        <v>76.7</v>
      </c>
      <c r="D53" s="4">
        <f t="shared" si="2"/>
        <v>3490334.5</v>
      </c>
      <c r="E53" s="4">
        <f t="shared" si="3"/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f t="shared" si="4"/>
        <v>76.7</v>
      </c>
      <c r="O53" s="4">
        <f t="shared" si="5"/>
        <v>83.5</v>
      </c>
      <c r="P53" s="4">
        <f t="shared" si="6"/>
        <v>3490334.5</v>
      </c>
      <c r="Q53" s="4">
        <v>0</v>
      </c>
      <c r="R53" s="4">
        <v>0</v>
      </c>
      <c r="S53" s="4">
        <v>0</v>
      </c>
      <c r="T53" s="4">
        <v>0</v>
      </c>
      <c r="U53" s="4">
        <v>53</v>
      </c>
      <c r="V53" s="4">
        <v>2096941.5</v>
      </c>
      <c r="W53" s="4">
        <v>30.5</v>
      </c>
      <c r="X53" s="4">
        <v>1393393</v>
      </c>
      <c r="Y53" s="4">
        <v>0</v>
      </c>
      <c r="Z53" s="4">
        <v>83.5</v>
      </c>
      <c r="AA53" s="4">
        <v>0</v>
      </c>
      <c r="AB53" s="4">
        <v>0</v>
      </c>
      <c r="AC53" s="4">
        <v>0</v>
      </c>
      <c r="AD53" s="23"/>
      <c r="AE53" s="24"/>
    </row>
    <row r="54" spans="1:31" s="7" customFormat="1" ht="81" x14ac:dyDescent="0.45">
      <c r="A54" s="19">
        <v>40</v>
      </c>
      <c r="B54" s="6" t="s">
        <v>67</v>
      </c>
      <c r="C54" s="4">
        <v>177</v>
      </c>
      <c r="D54" s="4">
        <f t="shared" si="2"/>
        <v>7222044.3799999999</v>
      </c>
      <c r="E54" s="4">
        <f t="shared" si="3"/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f t="shared" si="4"/>
        <v>177</v>
      </c>
      <c r="O54" s="4">
        <f t="shared" si="5"/>
        <v>180.8</v>
      </c>
      <c r="P54" s="4">
        <f t="shared" si="6"/>
        <v>7222044.3799999999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180.8</v>
      </c>
      <c r="X54" s="4">
        <v>7222044.3799999999</v>
      </c>
      <c r="Y54" s="4">
        <v>0</v>
      </c>
      <c r="Z54" s="4">
        <v>132.9</v>
      </c>
      <c r="AA54" s="4">
        <v>0</v>
      </c>
      <c r="AB54" s="4">
        <v>0</v>
      </c>
      <c r="AC54" s="4">
        <v>47.9</v>
      </c>
      <c r="AD54" s="23"/>
      <c r="AE54" s="24"/>
    </row>
    <row r="55" spans="1:31" s="7" customFormat="1" ht="81" x14ac:dyDescent="0.45">
      <c r="A55" s="19">
        <v>41</v>
      </c>
      <c r="B55" s="6" t="s">
        <v>68</v>
      </c>
      <c r="C55" s="4">
        <v>252.3</v>
      </c>
      <c r="D55" s="4">
        <f t="shared" si="2"/>
        <v>13357997.279999999</v>
      </c>
      <c r="E55" s="4">
        <f t="shared" si="3"/>
        <v>18</v>
      </c>
      <c r="F55" s="4">
        <v>18</v>
      </c>
      <c r="G55" s="4">
        <v>612656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f t="shared" si="4"/>
        <v>234.3</v>
      </c>
      <c r="O55" s="4">
        <f t="shared" si="5"/>
        <v>246.9</v>
      </c>
      <c r="P55" s="4">
        <f t="shared" si="6"/>
        <v>12745341.279999999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246.9</v>
      </c>
      <c r="X55" s="4">
        <v>12745341.279999999</v>
      </c>
      <c r="Y55" s="4">
        <v>0</v>
      </c>
      <c r="Z55" s="4">
        <v>0</v>
      </c>
      <c r="AA55" s="4">
        <v>0</v>
      </c>
      <c r="AB55" s="4">
        <v>0</v>
      </c>
      <c r="AC55" s="4">
        <v>246.9</v>
      </c>
      <c r="AD55" s="23"/>
      <c r="AE55" s="24"/>
    </row>
    <row r="56" spans="1:31" s="7" customFormat="1" ht="81" x14ac:dyDescent="0.45">
      <c r="A56" s="19">
        <v>42</v>
      </c>
      <c r="B56" s="6" t="s">
        <v>69</v>
      </c>
      <c r="C56" s="4">
        <v>558.5</v>
      </c>
      <c r="D56" s="4">
        <f t="shared" si="2"/>
        <v>11798535.43</v>
      </c>
      <c r="E56" s="4">
        <f t="shared" si="3"/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f t="shared" si="4"/>
        <v>558.5</v>
      </c>
      <c r="O56" s="4">
        <f t="shared" si="5"/>
        <v>581.70000000000005</v>
      </c>
      <c r="P56" s="4">
        <f t="shared" si="6"/>
        <v>11798535.43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581.70000000000005</v>
      </c>
      <c r="X56" s="4">
        <v>11798535.43</v>
      </c>
      <c r="Y56" s="4">
        <v>0</v>
      </c>
      <c r="Z56" s="4">
        <v>227</v>
      </c>
      <c r="AA56" s="4">
        <v>0</v>
      </c>
      <c r="AB56" s="4">
        <v>0</v>
      </c>
      <c r="AC56" s="4">
        <v>354.7</v>
      </c>
      <c r="AD56" s="23"/>
      <c r="AE56" s="24"/>
    </row>
    <row r="57" spans="1:31" s="7" customFormat="1" ht="81" x14ac:dyDescent="0.45">
      <c r="A57" s="19">
        <v>43</v>
      </c>
      <c r="B57" s="6" t="s">
        <v>70</v>
      </c>
      <c r="C57" s="4">
        <v>286.5</v>
      </c>
      <c r="D57" s="4">
        <f t="shared" si="2"/>
        <v>12879162.68</v>
      </c>
      <c r="E57" s="4">
        <f t="shared" si="3"/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f t="shared" si="4"/>
        <v>286.5</v>
      </c>
      <c r="O57" s="4">
        <f t="shared" si="5"/>
        <v>296.10000000000002</v>
      </c>
      <c r="P57" s="4">
        <f t="shared" si="6"/>
        <v>12879162.68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296.10000000000002</v>
      </c>
      <c r="X57" s="4">
        <v>12879162.68</v>
      </c>
      <c r="Y57" s="4">
        <v>0</v>
      </c>
      <c r="Z57" s="4">
        <v>296.10000000000002</v>
      </c>
      <c r="AA57" s="4">
        <v>0</v>
      </c>
      <c r="AB57" s="4">
        <v>0</v>
      </c>
      <c r="AC57" s="4">
        <v>0</v>
      </c>
      <c r="AD57" s="23"/>
      <c r="AE57" s="24"/>
    </row>
    <row r="58" spans="1:31" s="7" customFormat="1" ht="81" x14ac:dyDescent="0.45">
      <c r="A58" s="19">
        <v>44</v>
      </c>
      <c r="B58" s="6" t="s">
        <v>71</v>
      </c>
      <c r="C58" s="4">
        <v>30.9</v>
      </c>
      <c r="D58" s="4">
        <f t="shared" si="2"/>
        <v>2069530.5</v>
      </c>
      <c r="E58" s="4">
        <f t="shared" si="3"/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f t="shared" si="4"/>
        <v>30.9</v>
      </c>
      <c r="O58" s="4">
        <f t="shared" si="5"/>
        <v>45.3</v>
      </c>
      <c r="P58" s="4">
        <f t="shared" si="6"/>
        <v>2069530.5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45.3</v>
      </c>
      <c r="X58" s="4">
        <v>2069530.5</v>
      </c>
      <c r="Y58" s="4">
        <v>0</v>
      </c>
      <c r="Z58" s="4">
        <v>45.3</v>
      </c>
      <c r="AA58" s="4">
        <v>0</v>
      </c>
      <c r="AB58" s="4">
        <v>0</v>
      </c>
      <c r="AC58" s="4">
        <v>0</v>
      </c>
      <c r="AD58" s="23"/>
      <c r="AE58" s="24"/>
    </row>
    <row r="59" spans="1:31" s="7" customFormat="1" ht="42.75" customHeight="1" x14ac:dyDescent="0.45">
      <c r="A59" s="19"/>
      <c r="B59" s="6" t="s">
        <v>72</v>
      </c>
      <c r="C59" s="4">
        <f t="shared" ref="C59:AC59" si="7">SUM(C60:C73)</f>
        <v>29710.599999999995</v>
      </c>
      <c r="D59" s="4">
        <f t="shared" si="7"/>
        <v>1760432870.8600004</v>
      </c>
      <c r="E59" s="4">
        <f t="shared" si="7"/>
        <v>998.39</v>
      </c>
      <c r="F59" s="4">
        <f t="shared" si="7"/>
        <v>900.09</v>
      </c>
      <c r="G59" s="4">
        <f t="shared" si="7"/>
        <v>24874084</v>
      </c>
      <c r="H59" s="4">
        <f t="shared" si="7"/>
        <v>0</v>
      </c>
      <c r="I59" s="4">
        <f t="shared" si="7"/>
        <v>0</v>
      </c>
      <c r="J59" s="4">
        <f t="shared" si="7"/>
        <v>0</v>
      </c>
      <c r="K59" s="4">
        <f t="shared" si="7"/>
        <v>0</v>
      </c>
      <c r="L59" s="4">
        <f t="shared" si="7"/>
        <v>98.3</v>
      </c>
      <c r="M59" s="4">
        <v>0</v>
      </c>
      <c r="N59" s="16">
        <f t="shared" si="7"/>
        <v>28712.209999999995</v>
      </c>
      <c r="O59" s="16">
        <f t="shared" si="7"/>
        <v>33439.5</v>
      </c>
      <c r="P59" s="16">
        <f t="shared" si="7"/>
        <v>1735558786.8600004</v>
      </c>
      <c r="Q59" s="16">
        <f t="shared" si="7"/>
        <v>0</v>
      </c>
      <c r="R59" s="4">
        <f t="shared" si="7"/>
        <v>0</v>
      </c>
      <c r="S59" s="4">
        <f t="shared" si="7"/>
        <v>29175.299999999996</v>
      </c>
      <c r="T59" s="4">
        <f t="shared" si="7"/>
        <v>1501679236.23</v>
      </c>
      <c r="U59" s="4">
        <f t="shared" si="7"/>
        <v>37.9</v>
      </c>
      <c r="V59" s="16">
        <f t="shared" si="7"/>
        <v>3034526.79</v>
      </c>
      <c r="W59" s="16">
        <f t="shared" si="7"/>
        <v>4226.2999999999993</v>
      </c>
      <c r="X59" s="4">
        <f t="shared" si="7"/>
        <v>230845023.83999997</v>
      </c>
      <c r="Y59" s="4">
        <v>0</v>
      </c>
      <c r="Z59" s="4">
        <f t="shared" si="7"/>
        <v>16987.499999999996</v>
      </c>
      <c r="AA59" s="4">
        <f t="shared" si="7"/>
        <v>0</v>
      </c>
      <c r="AB59" s="16">
        <f t="shared" si="7"/>
        <v>0</v>
      </c>
      <c r="AC59" s="16">
        <f t="shared" si="7"/>
        <v>16452</v>
      </c>
      <c r="AD59" s="23"/>
      <c r="AE59" s="24"/>
    </row>
    <row r="60" spans="1:31" s="7" customFormat="1" ht="81" x14ac:dyDescent="0.45">
      <c r="A60" s="19">
        <v>1</v>
      </c>
      <c r="B60" s="6" t="s">
        <v>73</v>
      </c>
      <c r="C60" s="4">
        <v>3068.74</v>
      </c>
      <c r="D60" s="4">
        <f t="shared" ref="D60:D73" si="8">G60+H60+I60+K60+P60</f>
        <v>168163257.13999999</v>
      </c>
      <c r="E60" s="4">
        <f t="shared" ref="E60:E73" si="9">F60+J60+L60</f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f t="shared" ref="N60:N73" si="10">C60-E60</f>
        <v>3068.74</v>
      </c>
      <c r="O60" s="4">
        <f t="shared" ref="O60:O73" si="11">Q60+S60+U60+W60</f>
        <v>3519.7</v>
      </c>
      <c r="P60" s="4">
        <f t="shared" ref="P60:P73" si="12">R60+T60+V60+X60</f>
        <v>168163257.13999999</v>
      </c>
      <c r="Q60" s="4">
        <v>0</v>
      </c>
      <c r="R60" s="4">
        <v>0</v>
      </c>
      <c r="S60" s="4">
        <v>3124.5</v>
      </c>
      <c r="T60" s="4">
        <v>159341257.13999999</v>
      </c>
      <c r="U60" s="4">
        <v>0</v>
      </c>
      <c r="V60" s="4">
        <v>0</v>
      </c>
      <c r="W60" s="4">
        <v>395.2</v>
      </c>
      <c r="X60" s="4">
        <v>8822000</v>
      </c>
      <c r="Y60" s="4">
        <v>0</v>
      </c>
      <c r="Z60" s="4">
        <v>2542.5</v>
      </c>
      <c r="AA60" s="4">
        <v>0</v>
      </c>
      <c r="AB60" s="4">
        <v>0</v>
      </c>
      <c r="AC60" s="4">
        <v>977.2</v>
      </c>
      <c r="AD60" s="23"/>
      <c r="AE60" s="24"/>
    </row>
    <row r="61" spans="1:31" s="7" customFormat="1" ht="81" x14ac:dyDescent="0.45">
      <c r="A61" s="19">
        <v>2</v>
      </c>
      <c r="B61" s="6" t="s">
        <v>29</v>
      </c>
      <c r="C61" s="4">
        <v>2439.31</v>
      </c>
      <c r="D61" s="4">
        <f t="shared" si="8"/>
        <v>151623946.34999999</v>
      </c>
      <c r="E61" s="4">
        <f t="shared" si="9"/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f t="shared" si="10"/>
        <v>2439.31</v>
      </c>
      <c r="O61" s="4">
        <f t="shared" si="11"/>
        <v>2952.4</v>
      </c>
      <c r="P61" s="4">
        <f t="shared" si="12"/>
        <v>151623946.34999999</v>
      </c>
      <c r="Q61" s="4">
        <v>0</v>
      </c>
      <c r="R61" s="4">
        <v>0</v>
      </c>
      <c r="S61" s="4">
        <v>2952.4</v>
      </c>
      <c r="T61" s="4">
        <v>151623946.34999999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1290.8</v>
      </c>
      <c r="AA61" s="4">
        <v>0</v>
      </c>
      <c r="AB61" s="4">
        <v>0</v>
      </c>
      <c r="AC61" s="4">
        <v>1661.6</v>
      </c>
      <c r="AD61" s="23"/>
      <c r="AE61" s="24"/>
    </row>
    <row r="62" spans="1:31" s="7" customFormat="1" ht="81" x14ac:dyDescent="0.45">
      <c r="A62" s="19">
        <v>3</v>
      </c>
      <c r="B62" s="6" t="s">
        <v>74</v>
      </c>
      <c r="C62" s="4">
        <v>426.1</v>
      </c>
      <c r="D62" s="4">
        <f t="shared" si="8"/>
        <v>44926056.839999996</v>
      </c>
      <c r="E62" s="4">
        <f t="shared" si="9"/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f t="shared" si="10"/>
        <v>426.1</v>
      </c>
      <c r="O62" s="4">
        <f t="shared" si="11"/>
        <v>510.4</v>
      </c>
      <c r="P62" s="4">
        <f t="shared" si="12"/>
        <v>44926056.839999996</v>
      </c>
      <c r="Q62" s="4">
        <v>0</v>
      </c>
      <c r="R62" s="4">
        <v>0</v>
      </c>
      <c r="S62" s="4">
        <v>0</v>
      </c>
      <c r="T62" s="4">
        <v>0</v>
      </c>
      <c r="U62" s="4">
        <v>37.9</v>
      </c>
      <c r="V62" s="4">
        <v>3034526.79</v>
      </c>
      <c r="W62" s="4">
        <v>472.5</v>
      </c>
      <c r="X62" s="4">
        <v>41891530.049999997</v>
      </c>
      <c r="Y62" s="4">
        <v>0</v>
      </c>
      <c r="Z62" s="4">
        <v>409.8</v>
      </c>
      <c r="AA62" s="4">
        <v>0</v>
      </c>
      <c r="AB62" s="4">
        <v>0</v>
      </c>
      <c r="AC62" s="4">
        <v>100.6</v>
      </c>
      <c r="AD62" s="23"/>
      <c r="AE62" s="24"/>
    </row>
    <row r="63" spans="1:31" s="7" customFormat="1" ht="81" x14ac:dyDescent="0.45">
      <c r="A63" s="19">
        <v>4</v>
      </c>
      <c r="B63" s="6" t="s">
        <v>75</v>
      </c>
      <c r="C63" s="4">
        <v>319.7</v>
      </c>
      <c r="D63" s="4">
        <f t="shared" si="8"/>
        <v>25087833.399999999</v>
      </c>
      <c r="E63" s="4">
        <f t="shared" si="9"/>
        <v>31.8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31.8</v>
      </c>
      <c r="M63" s="4">
        <v>0</v>
      </c>
      <c r="N63" s="4">
        <f t="shared" si="10"/>
        <v>287.89999999999998</v>
      </c>
      <c r="O63" s="4">
        <f>Q63+S63+U63+W63</f>
        <v>360.9</v>
      </c>
      <c r="P63" s="4">
        <f t="shared" si="12"/>
        <v>25087833.399999999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360.9</v>
      </c>
      <c r="X63" s="4">
        <v>25087833.399999999</v>
      </c>
      <c r="Y63" s="4">
        <v>0</v>
      </c>
      <c r="Z63" s="4">
        <v>360.9</v>
      </c>
      <c r="AA63" s="4">
        <v>0</v>
      </c>
      <c r="AB63" s="4">
        <v>0</v>
      </c>
      <c r="AC63" s="4">
        <v>0</v>
      </c>
      <c r="AD63" s="23"/>
      <c r="AE63" s="24"/>
    </row>
    <row r="64" spans="1:31" s="7" customFormat="1" ht="81" x14ac:dyDescent="0.45">
      <c r="A64" s="19">
        <v>5</v>
      </c>
      <c r="B64" s="6" t="s">
        <v>76</v>
      </c>
      <c r="C64" s="4">
        <v>643.91999999999996</v>
      </c>
      <c r="D64" s="4">
        <f t="shared" si="8"/>
        <v>41540022.509999998</v>
      </c>
      <c r="E64" s="4">
        <f t="shared" si="9"/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f t="shared" si="10"/>
        <v>643.91999999999996</v>
      </c>
      <c r="O64" s="4">
        <f t="shared" si="11"/>
        <v>805.9</v>
      </c>
      <c r="P64" s="4">
        <f t="shared" si="12"/>
        <v>41540022.509999998</v>
      </c>
      <c r="Q64" s="4">
        <v>0</v>
      </c>
      <c r="R64" s="4">
        <v>0</v>
      </c>
      <c r="S64" s="4">
        <v>805.9</v>
      </c>
      <c r="T64" s="4">
        <v>41540022.509999998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325.3</v>
      </c>
      <c r="AA64" s="4">
        <v>0</v>
      </c>
      <c r="AB64" s="4">
        <v>0</v>
      </c>
      <c r="AC64" s="4">
        <v>480.6</v>
      </c>
      <c r="AD64" s="23"/>
      <c r="AE64" s="24"/>
    </row>
    <row r="65" spans="1:31" s="7" customFormat="1" ht="60.75" x14ac:dyDescent="0.45">
      <c r="A65" s="19">
        <v>6</v>
      </c>
      <c r="B65" s="6" t="s">
        <v>43</v>
      </c>
      <c r="C65" s="4">
        <v>3199.31</v>
      </c>
      <c r="D65" s="4">
        <f t="shared" si="8"/>
        <v>201277795.91999999</v>
      </c>
      <c r="E65" s="4">
        <f t="shared" si="9"/>
        <v>100.7</v>
      </c>
      <c r="F65" s="4">
        <v>100.7</v>
      </c>
      <c r="G65" s="4">
        <v>2759000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f t="shared" si="10"/>
        <v>3098.61</v>
      </c>
      <c r="O65" s="4">
        <f t="shared" si="11"/>
        <v>3849.9</v>
      </c>
      <c r="P65" s="4">
        <f t="shared" si="12"/>
        <v>198518795.91999999</v>
      </c>
      <c r="Q65" s="4">
        <v>0</v>
      </c>
      <c r="R65" s="4">
        <v>0</v>
      </c>
      <c r="S65" s="4">
        <v>3849.9</v>
      </c>
      <c r="T65" s="4">
        <v>198518795.91999999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1557.3</v>
      </c>
      <c r="AA65" s="4">
        <v>0</v>
      </c>
      <c r="AB65" s="4">
        <v>0</v>
      </c>
      <c r="AC65" s="4">
        <v>2292.6</v>
      </c>
      <c r="AD65" s="23"/>
      <c r="AE65" s="24"/>
    </row>
    <row r="66" spans="1:31" s="7" customFormat="1" ht="81" x14ac:dyDescent="0.45">
      <c r="A66" s="19">
        <v>7</v>
      </c>
      <c r="B66" s="6" t="s">
        <v>77</v>
      </c>
      <c r="C66" s="4">
        <v>4537.07</v>
      </c>
      <c r="D66" s="4">
        <f t="shared" si="8"/>
        <v>231578230.31</v>
      </c>
      <c r="E66" s="4">
        <f t="shared" si="9"/>
        <v>642.6</v>
      </c>
      <c r="F66" s="4">
        <v>642.6</v>
      </c>
      <c r="G66" s="4">
        <v>15786207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f t="shared" si="10"/>
        <v>3894.47</v>
      </c>
      <c r="O66" s="4">
        <f t="shared" si="11"/>
        <v>4195.1000000000004</v>
      </c>
      <c r="P66" s="4">
        <f t="shared" si="12"/>
        <v>215792023.31</v>
      </c>
      <c r="Q66" s="4">
        <v>0</v>
      </c>
      <c r="R66" s="4">
        <v>0</v>
      </c>
      <c r="S66" s="4">
        <v>3634</v>
      </c>
      <c r="T66" s="4">
        <v>187332813.18000001</v>
      </c>
      <c r="U66" s="4">
        <v>0</v>
      </c>
      <c r="V66" s="4">
        <v>0</v>
      </c>
      <c r="W66" s="4">
        <v>561.1</v>
      </c>
      <c r="X66" s="4">
        <v>28459210.130000003</v>
      </c>
      <c r="Y66" s="4">
        <v>0</v>
      </c>
      <c r="Z66" s="4">
        <v>2349.6</v>
      </c>
      <c r="AA66" s="4">
        <v>0</v>
      </c>
      <c r="AB66" s="4">
        <v>0</v>
      </c>
      <c r="AC66" s="4">
        <v>1845.5</v>
      </c>
      <c r="AD66" s="23"/>
      <c r="AE66" s="24"/>
    </row>
    <row r="67" spans="1:31" s="7" customFormat="1" ht="81" x14ac:dyDescent="0.45">
      <c r="A67" s="19">
        <v>8</v>
      </c>
      <c r="B67" s="6" t="s">
        <v>78</v>
      </c>
      <c r="C67" s="4">
        <v>848.3</v>
      </c>
      <c r="D67" s="4">
        <f t="shared" si="8"/>
        <v>58170098.980000004</v>
      </c>
      <c r="E67" s="4">
        <f t="shared" si="9"/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f t="shared" si="10"/>
        <v>848.3</v>
      </c>
      <c r="O67" s="4">
        <f t="shared" si="11"/>
        <v>1080.3</v>
      </c>
      <c r="P67" s="4">
        <f t="shared" si="12"/>
        <v>58170098.980000004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1080.3</v>
      </c>
      <c r="X67" s="4">
        <v>58170098.980000004</v>
      </c>
      <c r="Y67" s="4">
        <v>0</v>
      </c>
      <c r="Z67" s="4">
        <v>788.3</v>
      </c>
      <c r="AA67" s="4">
        <v>0</v>
      </c>
      <c r="AB67" s="4">
        <v>0</v>
      </c>
      <c r="AC67" s="4">
        <v>292</v>
      </c>
      <c r="AD67" s="23"/>
      <c r="AE67" s="24"/>
    </row>
    <row r="68" spans="1:31" s="7" customFormat="1" ht="81" x14ac:dyDescent="0.45">
      <c r="A68" s="19">
        <v>9</v>
      </c>
      <c r="B68" s="6" t="s">
        <v>79</v>
      </c>
      <c r="C68" s="4">
        <v>5593.75</v>
      </c>
      <c r="D68" s="4">
        <f t="shared" si="8"/>
        <v>338398721.66000003</v>
      </c>
      <c r="E68" s="4">
        <f t="shared" si="9"/>
        <v>156.79</v>
      </c>
      <c r="F68" s="4">
        <v>156.79</v>
      </c>
      <c r="G68" s="4">
        <v>6328877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f t="shared" si="10"/>
        <v>5436.96</v>
      </c>
      <c r="O68" s="4">
        <f>Q68+S68+U68+W68</f>
        <v>6470.9</v>
      </c>
      <c r="P68" s="4">
        <f t="shared" si="12"/>
        <v>332069844.66000003</v>
      </c>
      <c r="Q68" s="4">
        <v>0</v>
      </c>
      <c r="R68" s="4">
        <v>0</v>
      </c>
      <c r="S68" s="4">
        <v>5809.9</v>
      </c>
      <c r="T68" s="4">
        <f>338398721.66-G68-X68</f>
        <v>299551451</v>
      </c>
      <c r="U68" s="4">
        <v>0</v>
      </c>
      <c r="V68" s="4">
        <v>0</v>
      </c>
      <c r="W68" s="4">
        <v>661</v>
      </c>
      <c r="X68" s="4">
        <v>32518393.66</v>
      </c>
      <c r="Y68" s="4">
        <v>0</v>
      </c>
      <c r="Z68" s="4">
        <v>2312.4</v>
      </c>
      <c r="AA68" s="4">
        <v>0</v>
      </c>
      <c r="AB68" s="4">
        <v>0</v>
      </c>
      <c r="AC68" s="4">
        <v>4158.5</v>
      </c>
      <c r="AD68" s="23"/>
      <c r="AE68" s="24"/>
    </row>
    <row r="69" spans="1:31" s="7" customFormat="1" ht="81" x14ac:dyDescent="0.45">
      <c r="A69" s="19">
        <v>10</v>
      </c>
      <c r="B69" s="6" t="s">
        <v>80</v>
      </c>
      <c r="C69" s="4">
        <v>2390.4</v>
      </c>
      <c r="D69" s="4">
        <f t="shared" si="8"/>
        <v>138131296.19999999</v>
      </c>
      <c r="E69" s="4">
        <f t="shared" si="9"/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f t="shared" si="10"/>
        <v>2390.4</v>
      </c>
      <c r="O69" s="4">
        <f t="shared" si="11"/>
        <v>2687.8</v>
      </c>
      <c r="P69" s="4">
        <f t="shared" si="12"/>
        <v>138131296.19999999</v>
      </c>
      <c r="Q69" s="4">
        <v>0</v>
      </c>
      <c r="R69" s="4">
        <v>0</v>
      </c>
      <c r="S69" s="4">
        <v>2687.8</v>
      </c>
      <c r="T69" s="4">
        <v>138131296.19999999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1408.5</v>
      </c>
      <c r="AA69" s="4">
        <v>0</v>
      </c>
      <c r="AB69" s="4">
        <v>0</v>
      </c>
      <c r="AC69" s="4">
        <v>1279.3</v>
      </c>
      <c r="AD69" s="23"/>
      <c r="AE69" s="24"/>
    </row>
    <row r="70" spans="1:31" s="7" customFormat="1" ht="81" x14ac:dyDescent="0.45">
      <c r="A70" s="19">
        <v>11</v>
      </c>
      <c r="B70" s="6" t="s">
        <v>81</v>
      </c>
      <c r="C70" s="4">
        <v>422.6</v>
      </c>
      <c r="D70" s="4">
        <f t="shared" si="8"/>
        <v>23129704.420000002</v>
      </c>
      <c r="E70" s="4">
        <f t="shared" si="9"/>
        <v>66.5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66.5</v>
      </c>
      <c r="M70" s="4">
        <v>0</v>
      </c>
      <c r="N70" s="4">
        <f t="shared" si="10"/>
        <v>356.1</v>
      </c>
      <c r="O70" s="4">
        <f t="shared" si="11"/>
        <v>376.7</v>
      </c>
      <c r="P70" s="4">
        <f t="shared" si="12"/>
        <v>23129704.420000002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376.7</v>
      </c>
      <c r="X70" s="4">
        <v>23129704.420000002</v>
      </c>
      <c r="Y70" s="4">
        <v>0</v>
      </c>
      <c r="Z70" s="4">
        <v>213.2</v>
      </c>
      <c r="AA70" s="4">
        <v>0</v>
      </c>
      <c r="AB70" s="4">
        <v>0</v>
      </c>
      <c r="AC70" s="4">
        <v>163.5</v>
      </c>
      <c r="AD70" s="23"/>
      <c r="AE70" s="24"/>
    </row>
    <row r="71" spans="1:31" s="7" customFormat="1" ht="81" x14ac:dyDescent="0.45">
      <c r="A71" s="19">
        <v>12</v>
      </c>
      <c r="B71" s="6" t="s">
        <v>82</v>
      </c>
      <c r="C71" s="4">
        <v>5634</v>
      </c>
      <c r="D71" s="4">
        <f t="shared" si="8"/>
        <v>326609733.93000001</v>
      </c>
      <c r="E71" s="4">
        <f t="shared" si="9"/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f t="shared" si="10"/>
        <v>5634</v>
      </c>
      <c r="O71" s="4">
        <f t="shared" si="11"/>
        <v>6343</v>
      </c>
      <c r="P71" s="4">
        <f t="shared" si="12"/>
        <v>326609733.93000001</v>
      </c>
      <c r="Q71" s="4">
        <v>0</v>
      </c>
      <c r="R71" s="4">
        <v>0</v>
      </c>
      <c r="S71" s="4">
        <v>6310.9</v>
      </c>
      <c r="T71" s="4">
        <v>325639653.93000001</v>
      </c>
      <c r="U71" s="4">
        <v>0</v>
      </c>
      <c r="V71" s="4">
        <v>0</v>
      </c>
      <c r="W71" s="4">
        <v>32.1</v>
      </c>
      <c r="X71" s="4">
        <v>970080</v>
      </c>
      <c r="Y71" s="4">
        <v>0</v>
      </c>
      <c r="Z71" s="4">
        <v>3224.5</v>
      </c>
      <c r="AA71" s="4">
        <v>0</v>
      </c>
      <c r="AB71" s="4">
        <v>0</v>
      </c>
      <c r="AC71" s="4">
        <v>3118.5</v>
      </c>
      <c r="AD71" s="23"/>
      <c r="AE71" s="24"/>
    </row>
    <row r="72" spans="1:31" s="7" customFormat="1" ht="81" x14ac:dyDescent="0.45">
      <c r="A72" s="19">
        <v>13</v>
      </c>
      <c r="B72" s="6" t="s">
        <v>83</v>
      </c>
      <c r="C72" s="4">
        <v>84.1</v>
      </c>
      <c r="D72" s="4">
        <f t="shared" si="8"/>
        <v>5557267.2000000002</v>
      </c>
      <c r="E72" s="4">
        <f t="shared" si="9"/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f t="shared" si="10"/>
        <v>84.1</v>
      </c>
      <c r="O72" s="4">
        <f t="shared" si="11"/>
        <v>144.6</v>
      </c>
      <c r="P72" s="4">
        <f t="shared" si="12"/>
        <v>5557267.2000000002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144.6</v>
      </c>
      <c r="X72" s="4">
        <v>5557267.2000000002</v>
      </c>
      <c r="Y72" s="4">
        <v>0</v>
      </c>
      <c r="Z72" s="4">
        <v>144.6</v>
      </c>
      <c r="AA72" s="4">
        <v>0</v>
      </c>
      <c r="AB72" s="4">
        <v>0</v>
      </c>
      <c r="AC72" s="4">
        <v>0</v>
      </c>
      <c r="AD72" s="23"/>
      <c r="AE72" s="24"/>
    </row>
    <row r="73" spans="1:31" s="7" customFormat="1" ht="81" x14ac:dyDescent="0.45">
      <c r="A73" s="19">
        <v>14</v>
      </c>
      <c r="B73" s="6" t="s">
        <v>84</v>
      </c>
      <c r="C73" s="4">
        <v>103.3</v>
      </c>
      <c r="D73" s="4">
        <f t="shared" si="8"/>
        <v>6238906</v>
      </c>
      <c r="E73" s="4">
        <f t="shared" si="9"/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f t="shared" si="10"/>
        <v>103.3</v>
      </c>
      <c r="O73" s="4">
        <f t="shared" si="11"/>
        <v>141.9</v>
      </c>
      <c r="P73" s="4">
        <f t="shared" si="12"/>
        <v>6238906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141.9</v>
      </c>
      <c r="X73" s="4">
        <v>6238906</v>
      </c>
      <c r="Y73" s="4">
        <v>0</v>
      </c>
      <c r="Z73" s="4">
        <v>59.8</v>
      </c>
      <c r="AA73" s="4">
        <v>0</v>
      </c>
      <c r="AB73" s="4">
        <v>0</v>
      </c>
      <c r="AC73" s="4">
        <v>82.1</v>
      </c>
      <c r="AD73" s="23"/>
      <c r="AE73" s="24"/>
    </row>
    <row r="74" spans="1:31" s="7" customFormat="1" ht="45.75" customHeight="1" x14ac:dyDescent="0.45">
      <c r="A74" s="19"/>
      <c r="B74" s="6" t="s">
        <v>85</v>
      </c>
      <c r="C74" s="4">
        <f t="shared" ref="C74:AC74" si="13">SUM(C75:C91)</f>
        <v>41107.840000000004</v>
      </c>
      <c r="D74" s="4">
        <f t="shared" si="13"/>
        <v>4472375780.8600006</v>
      </c>
      <c r="E74" s="4">
        <f t="shared" si="13"/>
        <v>1068.3799999999999</v>
      </c>
      <c r="F74" s="4">
        <f t="shared" si="13"/>
        <v>1014.8799999999999</v>
      </c>
      <c r="G74" s="4">
        <f t="shared" si="13"/>
        <v>62776786.979999997</v>
      </c>
      <c r="H74" s="4">
        <f t="shared" si="13"/>
        <v>0</v>
      </c>
      <c r="I74" s="4">
        <f t="shared" si="13"/>
        <v>0</v>
      </c>
      <c r="J74" s="4">
        <f t="shared" si="13"/>
        <v>0</v>
      </c>
      <c r="K74" s="4">
        <f t="shared" si="13"/>
        <v>0</v>
      </c>
      <c r="L74" s="4">
        <f t="shared" si="13"/>
        <v>53.5</v>
      </c>
      <c r="M74" s="4">
        <v>0</v>
      </c>
      <c r="N74" s="16">
        <f t="shared" si="13"/>
        <v>40039.46</v>
      </c>
      <c r="O74" s="16">
        <f t="shared" si="13"/>
        <v>46759.17</v>
      </c>
      <c r="P74" s="16">
        <f t="shared" si="13"/>
        <v>4409598993.8800001</v>
      </c>
      <c r="Q74" s="16">
        <f t="shared" si="13"/>
        <v>0</v>
      </c>
      <c r="R74" s="4">
        <f t="shared" si="13"/>
        <v>0</v>
      </c>
      <c r="S74" s="4">
        <f t="shared" si="13"/>
        <v>42279.97</v>
      </c>
      <c r="T74" s="4">
        <f t="shared" si="13"/>
        <v>4154755455.7600002</v>
      </c>
      <c r="U74" s="4">
        <f t="shared" si="13"/>
        <v>58.4</v>
      </c>
      <c r="V74" s="16">
        <f t="shared" si="13"/>
        <v>4496800</v>
      </c>
      <c r="W74" s="16">
        <f t="shared" si="13"/>
        <v>4420.7999999999993</v>
      </c>
      <c r="X74" s="4">
        <f t="shared" si="13"/>
        <v>250346738.11999997</v>
      </c>
      <c r="Y74" s="4">
        <v>0</v>
      </c>
      <c r="Z74" s="4">
        <f t="shared" si="13"/>
        <v>22889.719999999998</v>
      </c>
      <c r="AA74" s="4">
        <f t="shared" si="13"/>
        <v>0</v>
      </c>
      <c r="AB74" s="16">
        <f t="shared" si="13"/>
        <v>0</v>
      </c>
      <c r="AC74" s="16">
        <f t="shared" si="13"/>
        <v>23869.45</v>
      </c>
      <c r="AD74" s="23"/>
      <c r="AE74" s="24"/>
    </row>
    <row r="75" spans="1:31" s="7" customFormat="1" ht="81" x14ac:dyDescent="0.45">
      <c r="A75" s="19">
        <v>1</v>
      </c>
      <c r="B75" s="6" t="s">
        <v>32</v>
      </c>
      <c r="C75" s="4">
        <v>579.6</v>
      </c>
      <c r="D75" s="4">
        <f t="shared" ref="D75:D91" si="14">G75+H75+I75+K75+P75</f>
        <v>31705464.800000001</v>
      </c>
      <c r="E75" s="4">
        <f t="shared" ref="E75:E91" si="15">F75+J75+L75</f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f t="shared" ref="N75:N91" si="16">C75-E75</f>
        <v>579.6</v>
      </c>
      <c r="O75" s="4">
        <f t="shared" ref="O75:O91" si="17">Q75+S75+U75+W75</f>
        <v>568.79999999999995</v>
      </c>
      <c r="P75" s="4">
        <f t="shared" ref="P75:P91" si="18">R75+T75+V75+X75</f>
        <v>31705464.800000001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568.79999999999995</v>
      </c>
      <c r="X75" s="4">
        <v>31705464.800000001</v>
      </c>
      <c r="Y75" s="4">
        <v>0</v>
      </c>
      <c r="Z75" s="4">
        <v>568.79999999999995</v>
      </c>
      <c r="AA75" s="4">
        <v>0</v>
      </c>
      <c r="AB75" s="4">
        <v>0</v>
      </c>
      <c r="AC75" s="4">
        <v>0</v>
      </c>
      <c r="AD75" s="23"/>
      <c r="AE75" s="24"/>
    </row>
    <row r="76" spans="1:31" s="7" customFormat="1" ht="101.25" x14ac:dyDescent="0.45">
      <c r="A76" s="19">
        <v>2</v>
      </c>
      <c r="B76" s="6" t="s">
        <v>33</v>
      </c>
      <c r="C76" s="4">
        <v>129.19999999999999</v>
      </c>
      <c r="D76" s="4">
        <f t="shared" si="14"/>
        <v>9491166.5999999996</v>
      </c>
      <c r="E76" s="4">
        <f t="shared" si="15"/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f t="shared" si="16"/>
        <v>129.19999999999999</v>
      </c>
      <c r="O76" s="4">
        <f t="shared" si="17"/>
        <v>168.9</v>
      </c>
      <c r="P76" s="4">
        <f t="shared" si="18"/>
        <v>9491166.5999999996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168.9</v>
      </c>
      <c r="X76" s="4">
        <v>9491166.5999999996</v>
      </c>
      <c r="Y76" s="4">
        <v>0</v>
      </c>
      <c r="Z76" s="4">
        <v>80</v>
      </c>
      <c r="AA76" s="4">
        <v>0</v>
      </c>
      <c r="AB76" s="4">
        <v>0</v>
      </c>
      <c r="AC76" s="4">
        <v>88.9</v>
      </c>
      <c r="AD76" s="23"/>
      <c r="AE76" s="24"/>
    </row>
    <row r="77" spans="1:31" s="7" customFormat="1" ht="81" x14ac:dyDescent="0.45">
      <c r="A77" s="19">
        <v>3</v>
      </c>
      <c r="B77" s="6" t="s">
        <v>34</v>
      </c>
      <c r="C77" s="4">
        <v>3157.42</v>
      </c>
      <c r="D77" s="4">
        <f t="shared" si="14"/>
        <v>336563604.56</v>
      </c>
      <c r="E77" s="4">
        <f t="shared" si="15"/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f t="shared" si="16"/>
        <v>3157.42</v>
      </c>
      <c r="O77" s="4">
        <f t="shared" si="17"/>
        <v>3549.7999999999997</v>
      </c>
      <c r="P77" s="4">
        <f t="shared" si="18"/>
        <v>336563604.56</v>
      </c>
      <c r="Q77" s="4">
        <v>0</v>
      </c>
      <c r="R77" s="4">
        <v>0</v>
      </c>
      <c r="S77" s="4">
        <v>3396.1</v>
      </c>
      <c r="T77" s="4">
        <v>329541820.06</v>
      </c>
      <c r="U77" s="4">
        <v>0</v>
      </c>
      <c r="V77" s="4">
        <v>0</v>
      </c>
      <c r="W77" s="4">
        <v>153.69999999999999</v>
      </c>
      <c r="X77" s="4">
        <v>7021784.5</v>
      </c>
      <c r="Y77" s="4">
        <v>0</v>
      </c>
      <c r="Z77" s="4">
        <v>1060.5999999999999</v>
      </c>
      <c r="AA77" s="4">
        <v>0</v>
      </c>
      <c r="AB77" s="4">
        <v>0</v>
      </c>
      <c r="AC77" s="4">
        <v>2489.1999999999998</v>
      </c>
      <c r="AD77" s="23"/>
      <c r="AE77" s="24"/>
    </row>
    <row r="78" spans="1:31" s="7" customFormat="1" ht="81" x14ac:dyDescent="0.45">
      <c r="A78" s="19">
        <v>4</v>
      </c>
      <c r="B78" s="6" t="s">
        <v>86</v>
      </c>
      <c r="C78" s="4">
        <v>4592.8999999999996</v>
      </c>
      <c r="D78" s="4">
        <f t="shared" si="14"/>
        <v>398435832.81</v>
      </c>
      <c r="E78" s="4">
        <f t="shared" si="15"/>
        <v>159.6</v>
      </c>
      <c r="F78" s="4">
        <v>159.6</v>
      </c>
      <c r="G78" s="4">
        <v>9078282.9800000004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f t="shared" si="16"/>
        <v>4433.2999999999993</v>
      </c>
      <c r="O78" s="4">
        <f t="shared" si="17"/>
        <v>5008.41</v>
      </c>
      <c r="P78" s="4">
        <f t="shared" si="18"/>
        <v>389357549.82999998</v>
      </c>
      <c r="Q78" s="4">
        <v>0</v>
      </c>
      <c r="R78" s="4">
        <v>0</v>
      </c>
      <c r="S78" s="4">
        <v>5008.41</v>
      </c>
      <c r="T78" s="4">
        <v>389357549.82999998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1689.49</v>
      </c>
      <c r="AA78" s="4"/>
      <c r="AB78" s="4"/>
      <c r="AC78" s="4">
        <v>3318.92</v>
      </c>
      <c r="AD78" s="23"/>
      <c r="AE78" s="24"/>
    </row>
    <row r="79" spans="1:31" s="7" customFormat="1" ht="81" x14ac:dyDescent="0.45">
      <c r="A79" s="19">
        <v>5</v>
      </c>
      <c r="B79" s="6" t="s">
        <v>87</v>
      </c>
      <c r="C79" s="4">
        <v>526.70000000000005</v>
      </c>
      <c r="D79" s="4">
        <f t="shared" si="14"/>
        <v>53748016.979999997</v>
      </c>
      <c r="E79" s="4">
        <f t="shared" si="15"/>
        <v>171.4</v>
      </c>
      <c r="F79" s="4">
        <v>117.9</v>
      </c>
      <c r="G79" s="4">
        <v>14400207</v>
      </c>
      <c r="H79" s="4">
        <v>0</v>
      </c>
      <c r="I79" s="4">
        <v>0</v>
      </c>
      <c r="J79" s="4">
        <v>0</v>
      </c>
      <c r="K79" s="4">
        <v>0</v>
      </c>
      <c r="L79" s="4">
        <v>53.5</v>
      </c>
      <c r="M79" s="4">
        <v>0</v>
      </c>
      <c r="N79" s="4">
        <f t="shared" si="16"/>
        <v>355.30000000000007</v>
      </c>
      <c r="O79" s="4">
        <f t="shared" si="17"/>
        <v>415.4</v>
      </c>
      <c r="P79" s="4">
        <f t="shared" si="18"/>
        <v>39347809.979999997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415.4</v>
      </c>
      <c r="X79" s="4">
        <v>39347809.979999997</v>
      </c>
      <c r="Y79" s="4">
        <v>0</v>
      </c>
      <c r="Z79" s="4">
        <v>136.9</v>
      </c>
      <c r="AA79" s="4"/>
      <c r="AB79" s="4"/>
      <c r="AC79" s="4">
        <v>278.5</v>
      </c>
      <c r="AD79" s="23"/>
      <c r="AE79" s="24"/>
    </row>
    <row r="80" spans="1:31" s="7" customFormat="1" ht="60.75" x14ac:dyDescent="0.45">
      <c r="A80" s="19">
        <v>6</v>
      </c>
      <c r="B80" s="6" t="s">
        <v>88</v>
      </c>
      <c r="C80" s="4">
        <v>472.2</v>
      </c>
      <c r="D80" s="4">
        <f t="shared" si="14"/>
        <v>42140290.200000003</v>
      </c>
      <c r="E80" s="4">
        <f t="shared" si="15"/>
        <v>28.3</v>
      </c>
      <c r="F80" s="4">
        <v>28.3</v>
      </c>
      <c r="G80" s="4">
        <v>1590290.2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f t="shared" si="16"/>
        <v>443.9</v>
      </c>
      <c r="O80" s="4">
        <f t="shared" si="17"/>
        <v>490.3</v>
      </c>
      <c r="P80" s="4">
        <f t="shared" si="18"/>
        <v>40550000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490.3</v>
      </c>
      <c r="X80" s="4">
        <v>40550000</v>
      </c>
      <c r="Y80" s="4">
        <v>0</v>
      </c>
      <c r="Z80" s="4">
        <v>321.89999999999998</v>
      </c>
      <c r="AA80" s="4">
        <v>0</v>
      </c>
      <c r="AB80" s="4">
        <v>0</v>
      </c>
      <c r="AC80" s="4">
        <v>168.4</v>
      </c>
      <c r="AD80" s="23"/>
      <c r="AE80" s="24"/>
    </row>
    <row r="81" spans="1:35" s="7" customFormat="1" ht="81" x14ac:dyDescent="0.45">
      <c r="A81" s="19">
        <v>7</v>
      </c>
      <c r="B81" s="6" t="s">
        <v>47</v>
      </c>
      <c r="C81" s="4">
        <v>194.81</v>
      </c>
      <c r="D81" s="4">
        <f t="shared" si="14"/>
        <v>15196897.4</v>
      </c>
      <c r="E81" s="4">
        <f t="shared" si="15"/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f t="shared" si="16"/>
        <v>194.81</v>
      </c>
      <c r="O81" s="4">
        <f t="shared" si="17"/>
        <v>227.9</v>
      </c>
      <c r="P81" s="4">
        <f t="shared" si="18"/>
        <v>15196897.4</v>
      </c>
      <c r="Q81" s="4">
        <v>0</v>
      </c>
      <c r="R81" s="4">
        <v>0</v>
      </c>
      <c r="S81" s="4">
        <v>0</v>
      </c>
      <c r="T81" s="4">
        <v>0</v>
      </c>
      <c r="U81" s="4">
        <v>58.4</v>
      </c>
      <c r="V81" s="4">
        <v>4496800</v>
      </c>
      <c r="W81" s="4">
        <v>169.5</v>
      </c>
      <c r="X81" s="4">
        <v>10700097.4</v>
      </c>
      <c r="Y81" s="4">
        <v>0</v>
      </c>
      <c r="Z81" s="4">
        <v>107.9</v>
      </c>
      <c r="AA81" s="4">
        <v>0</v>
      </c>
      <c r="AB81" s="4">
        <v>0</v>
      </c>
      <c r="AC81" s="4">
        <v>120</v>
      </c>
      <c r="AD81" s="23"/>
      <c r="AE81" s="24"/>
    </row>
    <row r="82" spans="1:35" s="7" customFormat="1" ht="60.75" x14ac:dyDescent="0.45">
      <c r="A82" s="19">
        <v>8</v>
      </c>
      <c r="B82" s="6" t="s">
        <v>89</v>
      </c>
      <c r="C82" s="4">
        <v>2867.98</v>
      </c>
      <c r="D82" s="4">
        <f t="shared" si="14"/>
        <v>327224321.47999996</v>
      </c>
      <c r="E82" s="4">
        <f t="shared" si="15"/>
        <v>403.42</v>
      </c>
      <c r="F82" s="4">
        <v>403.42</v>
      </c>
      <c r="G82" s="4">
        <v>21800500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f t="shared" si="16"/>
        <v>2464.56</v>
      </c>
      <c r="O82" s="4">
        <f t="shared" si="17"/>
        <v>2774.11</v>
      </c>
      <c r="P82" s="4">
        <f t="shared" si="18"/>
        <v>305423821.47999996</v>
      </c>
      <c r="Q82" s="4">
        <v>0</v>
      </c>
      <c r="R82" s="4">
        <v>0</v>
      </c>
      <c r="S82" s="4">
        <v>2698.31</v>
      </c>
      <c r="T82" s="4">
        <v>301360995.27999997</v>
      </c>
      <c r="U82" s="4">
        <v>0</v>
      </c>
      <c r="V82" s="4">
        <v>0</v>
      </c>
      <c r="W82" s="4">
        <v>75.8</v>
      </c>
      <c r="X82" s="4">
        <v>4062826.2</v>
      </c>
      <c r="Y82" s="4">
        <v>0</v>
      </c>
      <c r="Z82" s="4">
        <v>1152.52</v>
      </c>
      <c r="AA82" s="4"/>
      <c r="AB82" s="4"/>
      <c r="AC82" s="4">
        <v>1621.59</v>
      </c>
      <c r="AD82" s="23"/>
      <c r="AE82" s="24"/>
    </row>
    <row r="83" spans="1:35" s="7" customFormat="1" ht="81" x14ac:dyDescent="0.45">
      <c r="A83" s="19">
        <v>9</v>
      </c>
      <c r="B83" s="6" t="s">
        <v>52</v>
      </c>
      <c r="C83" s="4">
        <v>828.6</v>
      </c>
      <c r="D83" s="4">
        <f t="shared" si="14"/>
        <v>46745000</v>
      </c>
      <c r="E83" s="4">
        <f t="shared" si="15"/>
        <v>19.16</v>
      </c>
      <c r="F83" s="4">
        <v>19.16</v>
      </c>
      <c r="G83" s="4">
        <v>100000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f t="shared" si="16"/>
        <v>809.44</v>
      </c>
      <c r="O83" s="4">
        <f t="shared" si="17"/>
        <v>1020.5</v>
      </c>
      <c r="P83" s="4">
        <f t="shared" si="18"/>
        <v>46645000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1020.5</v>
      </c>
      <c r="X83" s="4">
        <v>46645000</v>
      </c>
      <c r="Y83" s="4">
        <v>0</v>
      </c>
      <c r="Z83" s="4">
        <v>785.1</v>
      </c>
      <c r="AA83" s="4"/>
      <c r="AB83" s="4"/>
      <c r="AC83" s="4">
        <v>235.4</v>
      </c>
      <c r="AD83" s="23"/>
      <c r="AE83" s="24"/>
    </row>
    <row r="84" spans="1:35" s="7" customFormat="1" ht="81" x14ac:dyDescent="0.45">
      <c r="A84" s="19">
        <v>10</v>
      </c>
      <c r="B84" s="6" t="s">
        <v>54</v>
      </c>
      <c r="C84" s="4">
        <v>114.4</v>
      </c>
      <c r="D84" s="4">
        <f t="shared" si="14"/>
        <v>6861287.4000000004</v>
      </c>
      <c r="E84" s="4">
        <f t="shared" si="15"/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f t="shared" si="16"/>
        <v>114.4</v>
      </c>
      <c r="O84" s="4">
        <f t="shared" si="17"/>
        <v>122.9</v>
      </c>
      <c r="P84" s="4">
        <f t="shared" si="18"/>
        <v>6861287.4000000004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122.9</v>
      </c>
      <c r="X84" s="4">
        <v>6861287.4000000004</v>
      </c>
      <c r="Y84" s="4">
        <v>0</v>
      </c>
      <c r="Z84" s="4">
        <v>122.9</v>
      </c>
      <c r="AA84" s="4">
        <v>0</v>
      </c>
      <c r="AB84" s="4">
        <v>0</v>
      </c>
      <c r="AC84" s="4">
        <v>0</v>
      </c>
      <c r="AD84" s="23"/>
      <c r="AE84" s="24"/>
    </row>
    <row r="85" spans="1:35" s="7" customFormat="1" ht="81" x14ac:dyDescent="0.45">
      <c r="A85" s="19">
        <v>11</v>
      </c>
      <c r="B85" s="6" t="s">
        <v>81</v>
      </c>
      <c r="C85" s="4">
        <v>399.6</v>
      </c>
      <c r="D85" s="4">
        <f t="shared" si="14"/>
        <v>30378586</v>
      </c>
      <c r="E85" s="4">
        <f t="shared" si="15"/>
        <v>161.69999999999999</v>
      </c>
      <c r="F85" s="4">
        <v>161.69999999999999</v>
      </c>
      <c r="G85" s="4">
        <v>12308986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f t="shared" si="16"/>
        <v>237.90000000000003</v>
      </c>
      <c r="O85" s="4">
        <f t="shared" si="17"/>
        <v>236.4</v>
      </c>
      <c r="P85" s="4">
        <f t="shared" si="18"/>
        <v>18069600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236.4</v>
      </c>
      <c r="X85" s="4">
        <v>18069600</v>
      </c>
      <c r="Y85" s="4">
        <v>0</v>
      </c>
      <c r="Z85" s="4">
        <v>236.4</v>
      </c>
      <c r="AA85" s="4">
        <v>0</v>
      </c>
      <c r="AB85" s="4">
        <v>0</v>
      </c>
      <c r="AC85" s="4">
        <v>0</v>
      </c>
      <c r="AD85" s="23"/>
      <c r="AE85" s="24"/>
    </row>
    <row r="86" spans="1:35" s="7" customFormat="1" ht="81" x14ac:dyDescent="0.45">
      <c r="A86" s="19">
        <v>12</v>
      </c>
      <c r="B86" s="6" t="s">
        <v>59</v>
      </c>
      <c r="C86" s="4">
        <v>5734.7</v>
      </c>
      <c r="D86" s="4">
        <f t="shared" si="14"/>
        <v>587342959.21000004</v>
      </c>
      <c r="E86" s="4">
        <f t="shared" si="15"/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f t="shared" si="16"/>
        <v>5734.7</v>
      </c>
      <c r="O86" s="4">
        <f t="shared" si="17"/>
        <v>6696.82</v>
      </c>
      <c r="P86" s="4">
        <f t="shared" si="18"/>
        <v>587342959.21000004</v>
      </c>
      <c r="Q86" s="4">
        <v>0</v>
      </c>
      <c r="R86" s="4">
        <v>0</v>
      </c>
      <c r="S86" s="4">
        <v>6488.62</v>
      </c>
      <c r="T86" s="4">
        <v>575909079.48000002</v>
      </c>
      <c r="U86" s="4">
        <v>0</v>
      </c>
      <c r="V86" s="4">
        <v>0</v>
      </c>
      <c r="W86" s="4">
        <v>208.2</v>
      </c>
      <c r="X86" s="4">
        <v>11433879.73</v>
      </c>
      <c r="Y86" s="4">
        <v>0</v>
      </c>
      <c r="Z86" s="4">
        <v>3180.35</v>
      </c>
      <c r="AA86" s="4"/>
      <c r="AB86" s="4"/>
      <c r="AC86" s="4">
        <v>3516.47</v>
      </c>
      <c r="AD86" s="23"/>
      <c r="AE86" s="24"/>
    </row>
    <row r="87" spans="1:35" s="7" customFormat="1" ht="81" x14ac:dyDescent="0.45">
      <c r="A87" s="19">
        <v>13</v>
      </c>
      <c r="B87" s="6" t="s">
        <v>60</v>
      </c>
      <c r="C87" s="4">
        <v>1287.5999999999999</v>
      </c>
      <c r="D87" s="4">
        <f t="shared" si="14"/>
        <v>145968046.86000001</v>
      </c>
      <c r="E87" s="4">
        <f t="shared" si="15"/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f t="shared" si="16"/>
        <v>1287.5999999999999</v>
      </c>
      <c r="O87" s="4">
        <f t="shared" si="17"/>
        <v>1474.5</v>
      </c>
      <c r="P87" s="4">
        <f t="shared" si="18"/>
        <v>145968046.86000001</v>
      </c>
      <c r="Q87" s="4">
        <v>0</v>
      </c>
      <c r="R87" s="4">
        <v>0</v>
      </c>
      <c r="S87" s="4">
        <v>1053.5</v>
      </c>
      <c r="T87" s="4">
        <v>131525229.45000002</v>
      </c>
      <c r="U87" s="4">
        <v>0</v>
      </c>
      <c r="V87" s="4">
        <v>0</v>
      </c>
      <c r="W87" s="4">
        <v>421</v>
      </c>
      <c r="X87" s="4">
        <v>14442817.41</v>
      </c>
      <c r="Y87" s="4">
        <v>0</v>
      </c>
      <c r="Z87" s="4">
        <v>832</v>
      </c>
      <c r="AA87" s="4"/>
      <c r="AB87" s="4"/>
      <c r="AC87" s="4">
        <v>642.5</v>
      </c>
      <c r="AD87" s="23"/>
      <c r="AE87" s="24"/>
    </row>
    <row r="88" spans="1:35" s="7" customFormat="1" ht="81" x14ac:dyDescent="0.45">
      <c r="A88" s="19">
        <v>14</v>
      </c>
      <c r="B88" s="6" t="s">
        <v>90</v>
      </c>
      <c r="C88" s="4">
        <v>7284.16</v>
      </c>
      <c r="D88" s="4">
        <f t="shared" si="14"/>
        <v>1036160303.8299999</v>
      </c>
      <c r="E88" s="4">
        <f t="shared" si="15"/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f t="shared" si="16"/>
        <v>7284.16</v>
      </c>
      <c r="O88" s="4">
        <f t="shared" si="17"/>
        <v>9004.74</v>
      </c>
      <c r="P88" s="4">
        <f t="shared" si="18"/>
        <v>1036160303.8299999</v>
      </c>
      <c r="Q88" s="4">
        <v>0</v>
      </c>
      <c r="R88" s="4">
        <v>0</v>
      </c>
      <c r="S88" s="4">
        <v>9004.74</v>
      </c>
      <c r="T88" s="4">
        <v>1036160303.8299999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4510.07</v>
      </c>
      <c r="AA88" s="4"/>
      <c r="AB88" s="4"/>
      <c r="AC88" s="4">
        <v>4494.67</v>
      </c>
      <c r="AD88" s="23"/>
      <c r="AE88" s="24"/>
    </row>
    <row r="89" spans="1:35" s="7" customFormat="1" ht="81" x14ac:dyDescent="0.45">
      <c r="A89" s="19">
        <v>15</v>
      </c>
      <c r="B89" s="6" t="s">
        <v>82</v>
      </c>
      <c r="C89" s="4">
        <v>7762.39</v>
      </c>
      <c r="D89" s="4">
        <f t="shared" si="14"/>
        <v>792214328.13</v>
      </c>
      <c r="E89" s="4">
        <f t="shared" si="15"/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f t="shared" si="16"/>
        <v>7762.39</v>
      </c>
      <c r="O89" s="4">
        <f t="shared" si="17"/>
        <v>8807.2000000000007</v>
      </c>
      <c r="P89" s="4">
        <f t="shared" si="18"/>
        <v>792214328.13</v>
      </c>
      <c r="Q89" s="4">
        <v>0</v>
      </c>
      <c r="R89" s="4">
        <v>0</v>
      </c>
      <c r="S89" s="4">
        <v>8807.2000000000007</v>
      </c>
      <c r="T89" s="4">
        <v>792214328.13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4944</v>
      </c>
      <c r="AA89" s="4">
        <v>0</v>
      </c>
      <c r="AB89" s="4">
        <v>0</v>
      </c>
      <c r="AC89" s="4">
        <v>3863.2</v>
      </c>
      <c r="AD89" s="23"/>
      <c r="AE89" s="24"/>
    </row>
    <row r="90" spans="1:35" s="7" customFormat="1" ht="81" x14ac:dyDescent="0.55000000000000004">
      <c r="A90" s="19">
        <v>16</v>
      </c>
      <c r="B90" s="6" t="s">
        <v>91</v>
      </c>
      <c r="C90" s="4">
        <v>389.9</v>
      </c>
      <c r="D90" s="4">
        <f t="shared" si="14"/>
        <v>11017504.1</v>
      </c>
      <c r="E90" s="4">
        <f t="shared" si="15"/>
        <v>70.400000000000006</v>
      </c>
      <c r="F90" s="4">
        <v>70.400000000000006</v>
      </c>
      <c r="G90" s="4">
        <v>1002500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f t="shared" si="16"/>
        <v>319.5</v>
      </c>
      <c r="O90" s="4">
        <f t="shared" si="17"/>
        <v>369.4</v>
      </c>
      <c r="P90" s="4">
        <f t="shared" si="18"/>
        <v>10015004.1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369.4</v>
      </c>
      <c r="X90" s="4">
        <v>10015004.1</v>
      </c>
      <c r="Y90" s="4">
        <v>0</v>
      </c>
      <c r="Z90" s="4">
        <v>124.1</v>
      </c>
      <c r="AA90" s="4">
        <v>0</v>
      </c>
      <c r="AB90" s="4">
        <v>0</v>
      </c>
      <c r="AC90" s="4">
        <v>245.3</v>
      </c>
      <c r="AD90" s="23"/>
      <c r="AE90" s="24"/>
      <c r="AG90" s="25"/>
      <c r="AI90" s="22"/>
    </row>
    <row r="91" spans="1:35" s="7" customFormat="1" ht="81" x14ac:dyDescent="0.45">
      <c r="A91" s="19">
        <v>17</v>
      </c>
      <c r="B91" s="6" t="s">
        <v>92</v>
      </c>
      <c r="C91" s="4">
        <v>4785.68</v>
      </c>
      <c r="D91" s="4">
        <f t="shared" si="14"/>
        <v>601182170.5</v>
      </c>
      <c r="E91" s="4">
        <f t="shared" si="15"/>
        <v>54.4</v>
      </c>
      <c r="F91" s="4">
        <v>54.4</v>
      </c>
      <c r="G91" s="4">
        <v>2496020.7999999998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f t="shared" si="16"/>
        <v>4731.2800000000007</v>
      </c>
      <c r="O91" s="4">
        <f t="shared" si="17"/>
        <v>5823.09</v>
      </c>
      <c r="P91" s="4">
        <f t="shared" si="18"/>
        <v>598686149.70000005</v>
      </c>
      <c r="Q91" s="4">
        <v>0</v>
      </c>
      <c r="R91" s="4">
        <v>0</v>
      </c>
      <c r="S91" s="4">
        <v>5823.09</v>
      </c>
      <c r="T91" s="4">
        <v>598686149.70000005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3036.69</v>
      </c>
      <c r="AA91" s="4"/>
      <c r="AB91" s="4"/>
      <c r="AC91" s="4">
        <v>2786.4</v>
      </c>
      <c r="AD91" s="23"/>
      <c r="AE91" s="24"/>
      <c r="AG91" s="22"/>
      <c r="AI91" s="22"/>
    </row>
    <row r="92" spans="1:35" s="7" customFormat="1" ht="63.75" customHeight="1" x14ac:dyDescent="0.45">
      <c r="A92" s="19"/>
      <c r="B92" s="6" t="s">
        <v>93</v>
      </c>
      <c r="C92" s="4">
        <f t="shared" ref="C92:AC92" si="19">SUM(C93:C118)</f>
        <v>59923.54</v>
      </c>
      <c r="D92" s="4">
        <f t="shared" si="19"/>
        <v>6075121721.369998</v>
      </c>
      <c r="E92" s="4">
        <f t="shared" si="19"/>
        <v>3048.8599999999997</v>
      </c>
      <c r="F92" s="4">
        <f t="shared" si="19"/>
        <v>3002.7599999999998</v>
      </c>
      <c r="G92" s="4">
        <f t="shared" si="19"/>
        <v>228267248.56</v>
      </c>
      <c r="H92" s="4">
        <f t="shared" si="19"/>
        <v>0</v>
      </c>
      <c r="I92" s="4">
        <f t="shared" si="19"/>
        <v>0</v>
      </c>
      <c r="J92" s="4">
        <f t="shared" si="19"/>
        <v>0</v>
      </c>
      <c r="K92" s="4">
        <f t="shared" si="19"/>
        <v>0</v>
      </c>
      <c r="L92" s="4">
        <f t="shared" si="19"/>
        <v>46.1</v>
      </c>
      <c r="M92" s="4">
        <v>0</v>
      </c>
      <c r="N92" s="16">
        <f t="shared" si="19"/>
        <v>56874.68</v>
      </c>
      <c r="O92" s="16">
        <f t="shared" si="19"/>
        <v>64927.53</v>
      </c>
      <c r="P92" s="16">
        <f t="shared" si="19"/>
        <v>5846854472.8099985</v>
      </c>
      <c r="Q92" s="16">
        <f t="shared" si="19"/>
        <v>0</v>
      </c>
      <c r="R92" s="4">
        <f t="shared" si="19"/>
        <v>0</v>
      </c>
      <c r="S92" s="4">
        <f t="shared" si="19"/>
        <v>45496.430000000008</v>
      </c>
      <c r="T92" s="4">
        <f t="shared" si="19"/>
        <v>4197838112.3000002</v>
      </c>
      <c r="U92" s="4">
        <f t="shared" si="19"/>
        <v>44.8</v>
      </c>
      <c r="V92" s="16">
        <f t="shared" si="19"/>
        <v>3787520</v>
      </c>
      <c r="W92" s="16">
        <f t="shared" si="19"/>
        <v>19386.300000000003</v>
      </c>
      <c r="X92" s="4">
        <f t="shared" si="19"/>
        <v>1645228840.5100002</v>
      </c>
      <c r="Y92" s="4">
        <v>0</v>
      </c>
      <c r="Z92" s="4">
        <f t="shared" si="19"/>
        <v>37807.310000000005</v>
      </c>
      <c r="AA92" s="4">
        <f t="shared" si="19"/>
        <v>0</v>
      </c>
      <c r="AB92" s="16">
        <f t="shared" si="19"/>
        <v>0</v>
      </c>
      <c r="AC92" s="16">
        <f t="shared" si="19"/>
        <v>27120.219999999994</v>
      </c>
      <c r="AD92" s="23"/>
      <c r="AE92" s="24"/>
    </row>
    <row r="93" spans="1:35" s="7" customFormat="1" ht="93.75" customHeight="1" x14ac:dyDescent="0.45">
      <c r="A93" s="19">
        <v>1</v>
      </c>
      <c r="B93" s="6" t="s">
        <v>101</v>
      </c>
      <c r="C93" s="4">
        <v>1130.4000000000001</v>
      </c>
      <c r="D93" s="4">
        <f t="shared" ref="D93:D118" si="20">G93+H93+I93+K93+P93</f>
        <v>66230937.310000002</v>
      </c>
      <c r="E93" s="4">
        <f t="shared" ref="E93:E118" si="21">F93+J93+L93</f>
        <v>322.89999999999998</v>
      </c>
      <c r="F93" s="4">
        <v>322.89999999999998</v>
      </c>
      <c r="G93" s="4">
        <v>11355300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f t="shared" ref="N93:N118" si="22">C93-E93</f>
        <v>807.50000000000011</v>
      </c>
      <c r="O93" s="4">
        <f t="shared" ref="O93:P108" si="23">Q93+S93+U93+W93</f>
        <v>886.2</v>
      </c>
      <c r="P93" s="4">
        <f t="shared" si="23"/>
        <v>54875637.310000002</v>
      </c>
      <c r="Q93" s="4">
        <v>0</v>
      </c>
      <c r="R93" s="4">
        <v>0</v>
      </c>
      <c r="S93" s="4">
        <v>0</v>
      </c>
      <c r="T93" s="4">
        <f>S93*86080</f>
        <v>0</v>
      </c>
      <c r="U93" s="4">
        <v>0</v>
      </c>
      <c r="V93" s="4">
        <f>U93*86080</f>
        <v>0</v>
      </c>
      <c r="W93" s="4">
        <f>842.2+44</f>
        <v>886.2</v>
      </c>
      <c r="X93" s="4">
        <f>66230937.31-G93</f>
        <v>54875637.310000002</v>
      </c>
      <c r="Y93" s="4">
        <v>0</v>
      </c>
      <c r="Z93" s="4">
        <f>O93-AC93</f>
        <v>159.60000000000002</v>
      </c>
      <c r="AA93" s="4">
        <v>0</v>
      </c>
      <c r="AB93" s="4">
        <v>0</v>
      </c>
      <c r="AC93" s="4">
        <v>726.6</v>
      </c>
      <c r="AD93" s="23"/>
      <c r="AE93" s="24"/>
      <c r="AG93" s="22"/>
      <c r="AI93" s="22"/>
    </row>
    <row r="94" spans="1:35" s="7" customFormat="1" ht="93.75" customHeight="1" x14ac:dyDescent="0.55000000000000004">
      <c r="A94" s="19">
        <v>2</v>
      </c>
      <c r="B94" s="6" t="s">
        <v>102</v>
      </c>
      <c r="C94" s="4">
        <v>4212.24</v>
      </c>
      <c r="D94" s="4">
        <f t="shared" si="20"/>
        <v>442960487.16999996</v>
      </c>
      <c r="E94" s="4">
        <f t="shared" si="21"/>
        <v>261.3</v>
      </c>
      <c r="F94" s="4">
        <v>261.3</v>
      </c>
      <c r="G94" s="4">
        <v>24858085.510000002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f t="shared" si="22"/>
        <v>3950.9399999999996</v>
      </c>
      <c r="O94" s="4">
        <f t="shared" si="23"/>
        <v>4734.71</v>
      </c>
      <c r="P94" s="4">
        <f t="shared" si="23"/>
        <v>418102401.65999997</v>
      </c>
      <c r="Q94" s="4">
        <v>0</v>
      </c>
      <c r="R94" s="4">
        <v>0</v>
      </c>
      <c r="S94" s="4">
        <f>3033.77+1700.94</f>
        <v>4734.71</v>
      </c>
      <c r="T94" s="4">
        <f>267899517.2+150202884.46</f>
        <v>418102401.65999997</v>
      </c>
      <c r="U94" s="4">
        <v>0</v>
      </c>
      <c r="V94" s="4">
        <f t="shared" ref="V94:V118" si="24">U94*86080</f>
        <v>0</v>
      </c>
      <c r="W94" s="4">
        <v>0</v>
      </c>
      <c r="X94" s="4">
        <f t="shared" ref="X94:X107" si="25">W94*86080</f>
        <v>0</v>
      </c>
      <c r="Y94" s="4">
        <v>0</v>
      </c>
      <c r="Z94" s="4">
        <f>S94-AC94</f>
        <v>2742.31</v>
      </c>
      <c r="AA94" s="4">
        <v>0</v>
      </c>
      <c r="AB94" s="4">
        <v>0</v>
      </c>
      <c r="AC94" s="4">
        <v>1992.4</v>
      </c>
      <c r="AD94" s="23"/>
      <c r="AE94" s="24"/>
      <c r="AG94" s="22"/>
      <c r="AH94" s="22"/>
      <c r="AI94" s="26"/>
    </row>
    <row r="95" spans="1:35" s="7" customFormat="1" ht="96" customHeight="1" x14ac:dyDescent="0.55000000000000004">
      <c r="A95" s="19">
        <v>3</v>
      </c>
      <c r="B95" s="6" t="s">
        <v>34</v>
      </c>
      <c r="C95" s="4">
        <v>11003.85</v>
      </c>
      <c r="D95" s="4">
        <f t="shared" si="20"/>
        <v>1106644539.72</v>
      </c>
      <c r="E95" s="4">
        <f t="shared" si="21"/>
        <v>63.6</v>
      </c>
      <c r="F95" s="4">
        <v>63.6</v>
      </c>
      <c r="G95" s="4">
        <v>3054802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f t="shared" si="22"/>
        <v>10940.25</v>
      </c>
      <c r="O95" s="4">
        <f t="shared" si="23"/>
        <v>11939.779999999999</v>
      </c>
      <c r="P95" s="4">
        <f t="shared" si="23"/>
        <v>1103589737.72</v>
      </c>
      <c r="Q95" s="4">
        <v>0</v>
      </c>
      <c r="R95" s="4">
        <v>0</v>
      </c>
      <c r="S95" s="4">
        <f>5296.4+5417.58</f>
        <v>10713.98</v>
      </c>
      <c r="T95" s="4">
        <f>513831394.8+512337723.46</f>
        <v>1026169118.26</v>
      </c>
      <c r="U95" s="4">
        <v>0</v>
      </c>
      <c r="V95" s="4">
        <f t="shared" si="24"/>
        <v>0</v>
      </c>
      <c r="W95" s="4">
        <f>1037.4+188.4</f>
        <v>1225.8000000000002</v>
      </c>
      <c r="X95" s="4">
        <f>59603729.43+17816890.03</f>
        <v>77420619.460000008</v>
      </c>
      <c r="Y95" s="4">
        <v>0</v>
      </c>
      <c r="Z95" s="4">
        <f>(S95+W95)-AC95</f>
        <v>6788.5399999999991</v>
      </c>
      <c r="AA95" s="4">
        <v>0</v>
      </c>
      <c r="AB95" s="4">
        <v>0</v>
      </c>
      <c r="AC95" s="4">
        <v>5151.24</v>
      </c>
      <c r="AD95" s="23"/>
      <c r="AE95" s="24"/>
      <c r="AG95" s="22"/>
      <c r="AH95" s="22"/>
      <c r="AI95" s="27"/>
    </row>
    <row r="96" spans="1:35" s="7" customFormat="1" ht="87" customHeight="1" x14ac:dyDescent="0.45">
      <c r="A96" s="19">
        <v>4</v>
      </c>
      <c r="B96" s="6" t="s">
        <v>37</v>
      </c>
      <c r="C96" s="4">
        <v>1109.1300000000001</v>
      </c>
      <c r="D96" s="4">
        <f t="shared" si="20"/>
        <v>148582899.11000001</v>
      </c>
      <c r="E96" s="4">
        <f t="shared" si="21"/>
        <v>27.5</v>
      </c>
      <c r="F96" s="4">
        <v>0</v>
      </c>
      <c r="G96" s="4">
        <f t="shared" ref="G96:G108" si="26">F96*86080</f>
        <v>0</v>
      </c>
      <c r="H96" s="4">
        <v>0</v>
      </c>
      <c r="I96" s="4">
        <v>0</v>
      </c>
      <c r="J96" s="4">
        <v>0</v>
      </c>
      <c r="K96" s="4">
        <v>0</v>
      </c>
      <c r="L96" s="4">
        <v>27.5</v>
      </c>
      <c r="M96" s="4">
        <v>0</v>
      </c>
      <c r="N96" s="4">
        <f t="shared" si="22"/>
        <v>1081.6300000000001</v>
      </c>
      <c r="O96" s="4">
        <f t="shared" si="23"/>
        <v>1400.6</v>
      </c>
      <c r="P96" s="4">
        <f t="shared" si="23"/>
        <v>148582899.11000001</v>
      </c>
      <c r="Q96" s="4">
        <v>0</v>
      </c>
      <c r="R96" s="4">
        <v>0</v>
      </c>
      <c r="S96" s="4">
        <v>0</v>
      </c>
      <c r="T96" s="4">
        <f t="shared" ref="T96:T118" si="27">S96*86080</f>
        <v>0</v>
      </c>
      <c r="U96" s="4">
        <v>0</v>
      </c>
      <c r="V96" s="4">
        <v>0</v>
      </c>
      <c r="W96" s="4">
        <f>944.6+456</f>
        <v>1400.6</v>
      </c>
      <c r="X96" s="4">
        <f>109330419.11+39252480</f>
        <v>148582899.11000001</v>
      </c>
      <c r="Y96" s="4">
        <v>0</v>
      </c>
      <c r="Z96" s="4">
        <f t="shared" ref="Z96:Z97" si="28">O96-AC96</f>
        <v>752.81999999999994</v>
      </c>
      <c r="AA96" s="4">
        <v>0</v>
      </c>
      <c r="AB96" s="4">
        <v>0</v>
      </c>
      <c r="AC96" s="4">
        <v>647.78</v>
      </c>
      <c r="AD96" s="23"/>
      <c r="AE96" s="24"/>
      <c r="AG96" s="22"/>
      <c r="AH96" s="22"/>
    </row>
    <row r="97" spans="1:34" s="7" customFormat="1" ht="106.5" customHeight="1" x14ac:dyDescent="0.45">
      <c r="A97" s="19">
        <v>5</v>
      </c>
      <c r="B97" s="6" t="s">
        <v>94</v>
      </c>
      <c r="C97" s="4">
        <v>400.8</v>
      </c>
      <c r="D97" s="4">
        <f t="shared" si="20"/>
        <v>45919132.799999997</v>
      </c>
      <c r="E97" s="4">
        <f t="shared" si="21"/>
        <v>67.06</v>
      </c>
      <c r="F97" s="4">
        <f>52.3+14.76</f>
        <v>67.06</v>
      </c>
      <c r="G97" s="4">
        <f>5256000+1270540.8</f>
        <v>6526540.7999999998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f t="shared" si="22"/>
        <v>333.74</v>
      </c>
      <c r="O97" s="4">
        <f t="shared" si="23"/>
        <v>391.20000000000005</v>
      </c>
      <c r="P97" s="4">
        <f t="shared" si="23"/>
        <v>39392592</v>
      </c>
      <c r="Q97" s="4">
        <v>0</v>
      </c>
      <c r="R97" s="4">
        <v>0</v>
      </c>
      <c r="S97" s="4">
        <v>0</v>
      </c>
      <c r="T97" s="4">
        <f t="shared" si="27"/>
        <v>0</v>
      </c>
      <c r="U97" s="4">
        <v>0</v>
      </c>
      <c r="V97" s="4">
        <f t="shared" si="24"/>
        <v>0</v>
      </c>
      <c r="W97" s="4">
        <f>152.3+238.9</f>
        <v>391.20000000000005</v>
      </c>
      <c r="X97" s="4">
        <f>18828080+20564512</f>
        <v>39392592</v>
      </c>
      <c r="Y97" s="4">
        <v>0</v>
      </c>
      <c r="Z97" s="4">
        <f t="shared" si="28"/>
        <v>163.20000000000005</v>
      </c>
      <c r="AA97" s="4">
        <v>0</v>
      </c>
      <c r="AB97" s="4">
        <v>0</v>
      </c>
      <c r="AC97" s="4">
        <v>228</v>
      </c>
      <c r="AD97" s="23"/>
      <c r="AE97" s="24"/>
      <c r="AG97" s="22"/>
    </row>
    <row r="98" spans="1:34" s="7" customFormat="1" ht="81" x14ac:dyDescent="0.45">
      <c r="A98" s="19">
        <v>6</v>
      </c>
      <c r="B98" s="6" t="s">
        <v>95</v>
      </c>
      <c r="C98" s="4">
        <v>144</v>
      </c>
      <c r="D98" s="4">
        <f t="shared" si="20"/>
        <v>15160409.4</v>
      </c>
      <c r="E98" s="4">
        <f t="shared" si="21"/>
        <v>0</v>
      </c>
      <c r="F98" s="4">
        <v>0</v>
      </c>
      <c r="G98" s="4">
        <f t="shared" si="26"/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f t="shared" si="22"/>
        <v>144</v>
      </c>
      <c r="O98" s="4">
        <f t="shared" si="23"/>
        <v>193.2</v>
      </c>
      <c r="P98" s="4">
        <f t="shared" si="23"/>
        <v>15160409.4</v>
      </c>
      <c r="Q98" s="4">
        <v>0</v>
      </c>
      <c r="R98" s="4">
        <v>0</v>
      </c>
      <c r="S98" s="4">
        <v>0</v>
      </c>
      <c r="T98" s="4">
        <f t="shared" si="27"/>
        <v>0</v>
      </c>
      <c r="U98" s="4">
        <v>44.8</v>
      </c>
      <c r="V98" s="4">
        <v>3787520</v>
      </c>
      <c r="W98" s="4">
        <f>104.4+44</f>
        <v>148.4</v>
      </c>
      <c r="X98" s="4">
        <f>7585369.4+3787520</f>
        <v>11372889.4</v>
      </c>
      <c r="Y98" s="4">
        <v>0</v>
      </c>
      <c r="Z98" s="4">
        <v>90.7</v>
      </c>
      <c r="AA98" s="4">
        <v>0</v>
      </c>
      <c r="AB98" s="4">
        <v>0</v>
      </c>
      <c r="AC98" s="4">
        <v>102.5</v>
      </c>
      <c r="AD98" s="23"/>
      <c r="AE98" s="24"/>
      <c r="AG98" s="22"/>
    </row>
    <row r="99" spans="1:34" s="7" customFormat="1" ht="68.25" customHeight="1" x14ac:dyDescent="0.45">
      <c r="A99" s="19">
        <v>7</v>
      </c>
      <c r="B99" s="6" t="s">
        <v>112</v>
      </c>
      <c r="C99" s="4">
        <v>1263.6300000000001</v>
      </c>
      <c r="D99" s="4">
        <f t="shared" si="20"/>
        <v>138142108.28</v>
      </c>
      <c r="E99" s="4">
        <f t="shared" si="21"/>
        <v>290.3</v>
      </c>
      <c r="F99" s="4">
        <f>161+129.3</f>
        <v>290.3</v>
      </c>
      <c r="G99" s="4">
        <f>16172015+11130144</f>
        <v>27302159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f t="shared" si="22"/>
        <v>973.33000000000015</v>
      </c>
      <c r="O99" s="4">
        <f t="shared" si="23"/>
        <v>1068</v>
      </c>
      <c r="P99" s="4">
        <f t="shared" si="23"/>
        <v>110839949.28</v>
      </c>
      <c r="Q99" s="4">
        <v>0</v>
      </c>
      <c r="R99" s="4">
        <v>0</v>
      </c>
      <c r="S99" s="4">
        <v>0</v>
      </c>
      <c r="T99" s="4">
        <f t="shared" si="27"/>
        <v>0</v>
      </c>
      <c r="U99" s="4">
        <v>0</v>
      </c>
      <c r="V99" s="4">
        <f t="shared" si="24"/>
        <v>0</v>
      </c>
      <c r="W99" s="4">
        <f>686.7+381.3</f>
        <v>1068</v>
      </c>
      <c r="X99" s="4">
        <f>78017645.28+32822304</f>
        <v>110839949.28</v>
      </c>
      <c r="Y99" s="4">
        <v>0</v>
      </c>
      <c r="Z99" s="4">
        <v>690.6</v>
      </c>
      <c r="AA99" s="4">
        <v>0</v>
      </c>
      <c r="AB99" s="4">
        <v>0</v>
      </c>
      <c r="AC99" s="4">
        <v>377.4</v>
      </c>
      <c r="AD99" s="23"/>
      <c r="AE99" s="24"/>
      <c r="AG99" s="22"/>
    </row>
    <row r="100" spans="1:34" s="7" customFormat="1" ht="81" x14ac:dyDescent="0.45">
      <c r="A100" s="19">
        <v>8</v>
      </c>
      <c r="B100" s="6" t="s">
        <v>96</v>
      </c>
      <c r="C100" s="4">
        <v>572.87</v>
      </c>
      <c r="D100" s="4">
        <f t="shared" si="20"/>
        <v>62789219.559999995</v>
      </c>
      <c r="E100" s="4">
        <f t="shared" si="21"/>
        <v>0</v>
      </c>
      <c r="F100" s="4">
        <v>0</v>
      </c>
      <c r="G100" s="4">
        <f t="shared" si="26"/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f t="shared" si="22"/>
        <v>572.87</v>
      </c>
      <c r="O100" s="4">
        <f t="shared" si="23"/>
        <v>697.45</v>
      </c>
      <c r="P100" s="4">
        <f t="shared" si="23"/>
        <v>62789219.559999995</v>
      </c>
      <c r="Q100" s="4">
        <v>0</v>
      </c>
      <c r="R100" s="4">
        <v>0</v>
      </c>
      <c r="S100" s="4">
        <v>697.45</v>
      </c>
      <c r="T100" s="4">
        <v>62789219.559999995</v>
      </c>
      <c r="U100" s="4">
        <v>0</v>
      </c>
      <c r="V100" s="4">
        <f t="shared" si="24"/>
        <v>0</v>
      </c>
      <c r="W100" s="4">
        <v>0</v>
      </c>
      <c r="X100" s="4">
        <f t="shared" si="25"/>
        <v>0</v>
      </c>
      <c r="Y100" s="4">
        <v>0</v>
      </c>
      <c r="Z100" s="4">
        <f t="shared" ref="Z100:Z118" si="29">O100-AC100</f>
        <v>563.46</v>
      </c>
      <c r="AA100" s="4">
        <v>0</v>
      </c>
      <c r="AB100" s="4">
        <v>0</v>
      </c>
      <c r="AC100" s="4">
        <v>133.99</v>
      </c>
      <c r="AD100" s="23"/>
      <c r="AE100" s="24"/>
      <c r="AG100" s="22"/>
    </row>
    <row r="101" spans="1:34" s="7" customFormat="1" ht="60.75" x14ac:dyDescent="0.45">
      <c r="A101" s="19">
        <v>9</v>
      </c>
      <c r="B101" s="6" t="s">
        <v>88</v>
      </c>
      <c r="C101" s="4">
        <v>1008.1</v>
      </c>
      <c r="D101" s="4">
        <f t="shared" si="20"/>
        <v>114877816</v>
      </c>
      <c r="E101" s="4">
        <f t="shared" si="21"/>
        <v>0</v>
      </c>
      <c r="F101" s="4">
        <v>0</v>
      </c>
      <c r="G101" s="4">
        <f t="shared" si="26"/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f t="shared" si="22"/>
        <v>1008.1</v>
      </c>
      <c r="O101" s="4">
        <f t="shared" si="23"/>
        <v>1290.2</v>
      </c>
      <c r="P101" s="4">
        <f t="shared" si="23"/>
        <v>114877816</v>
      </c>
      <c r="Q101" s="4">
        <v>0</v>
      </c>
      <c r="R101" s="4">
        <v>0</v>
      </c>
      <c r="S101" s="4">
        <v>0</v>
      </c>
      <c r="T101" s="4">
        <f t="shared" si="27"/>
        <v>0</v>
      </c>
      <c r="U101" s="4">
        <v>0</v>
      </c>
      <c r="V101" s="4">
        <f t="shared" si="24"/>
        <v>0</v>
      </c>
      <c r="W101" s="4">
        <f>754+536.2</f>
        <v>1290.2</v>
      </c>
      <c r="X101" s="4">
        <f>71175000+43702816</f>
        <v>114877816</v>
      </c>
      <c r="Y101" s="4">
        <v>0</v>
      </c>
      <c r="Z101" s="4">
        <f t="shared" si="29"/>
        <v>679</v>
      </c>
      <c r="AA101" s="4">
        <v>0</v>
      </c>
      <c r="AB101" s="4">
        <v>0</v>
      </c>
      <c r="AC101" s="4">
        <v>611.20000000000005</v>
      </c>
      <c r="AD101" s="23"/>
      <c r="AE101" s="24"/>
      <c r="AG101" s="22"/>
    </row>
    <row r="102" spans="1:34" s="7" customFormat="1" ht="88.5" customHeight="1" x14ac:dyDescent="0.45">
      <c r="A102" s="19">
        <v>10</v>
      </c>
      <c r="B102" s="6" t="s">
        <v>113</v>
      </c>
      <c r="C102" s="4">
        <v>967.3</v>
      </c>
      <c r="D102" s="4">
        <f t="shared" si="20"/>
        <v>92283881</v>
      </c>
      <c r="E102" s="4">
        <f t="shared" si="21"/>
        <v>45.2</v>
      </c>
      <c r="F102" s="4">
        <v>45.2</v>
      </c>
      <c r="G102" s="4">
        <v>1800000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f t="shared" si="22"/>
        <v>922.09999999999991</v>
      </c>
      <c r="O102" s="4">
        <f t="shared" si="23"/>
        <v>991.2</v>
      </c>
      <c r="P102" s="4">
        <f t="shared" si="23"/>
        <v>90483881</v>
      </c>
      <c r="Q102" s="4">
        <v>0</v>
      </c>
      <c r="R102" s="4">
        <v>0</v>
      </c>
      <c r="S102" s="4">
        <v>0</v>
      </c>
      <c r="T102" s="4">
        <f t="shared" si="27"/>
        <v>0</v>
      </c>
      <c r="U102" s="4">
        <v>0</v>
      </c>
      <c r="V102" s="4">
        <f t="shared" si="24"/>
        <v>0</v>
      </c>
      <c r="W102" s="4">
        <f>695.9+295.3</f>
        <v>991.2</v>
      </c>
      <c r="X102" s="4">
        <f>63196521+27287360</f>
        <v>90483881</v>
      </c>
      <c r="Y102" s="4">
        <v>0</v>
      </c>
      <c r="Z102" s="4">
        <f t="shared" si="29"/>
        <v>575.30000000000007</v>
      </c>
      <c r="AA102" s="4">
        <v>0</v>
      </c>
      <c r="AB102" s="4">
        <v>0</v>
      </c>
      <c r="AC102" s="4">
        <v>415.9</v>
      </c>
      <c r="AD102" s="23"/>
      <c r="AE102" s="24"/>
      <c r="AG102" s="22"/>
    </row>
    <row r="103" spans="1:34" s="7" customFormat="1" ht="88.5" customHeight="1" x14ac:dyDescent="0.45">
      <c r="A103" s="19">
        <v>11</v>
      </c>
      <c r="B103" s="6" t="s">
        <v>114</v>
      </c>
      <c r="C103" s="4">
        <v>722.83</v>
      </c>
      <c r="D103" s="4">
        <f t="shared" si="20"/>
        <v>73115675.400000006</v>
      </c>
      <c r="E103" s="4">
        <f t="shared" si="21"/>
        <v>347.3</v>
      </c>
      <c r="F103" s="4">
        <f>217+130.3</f>
        <v>347.3</v>
      </c>
      <c r="G103" s="4">
        <f>19279061+11216224</f>
        <v>30495285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f t="shared" si="22"/>
        <v>375.53000000000003</v>
      </c>
      <c r="O103" s="4">
        <f t="shared" si="23"/>
        <v>452.68</v>
      </c>
      <c r="P103" s="4">
        <f t="shared" si="23"/>
        <v>42620390.399999999</v>
      </c>
      <c r="Q103" s="4">
        <v>0</v>
      </c>
      <c r="R103" s="4">
        <v>0</v>
      </c>
      <c r="S103" s="4">
        <v>0</v>
      </c>
      <c r="T103" s="4">
        <f t="shared" si="27"/>
        <v>0</v>
      </c>
      <c r="U103" s="4">
        <v>0</v>
      </c>
      <c r="V103" s="4">
        <f t="shared" si="24"/>
        <v>0</v>
      </c>
      <c r="W103" s="4">
        <f>306.3+146.38</f>
        <v>452.68</v>
      </c>
      <c r="X103" s="4">
        <f>30020000+12600390.4</f>
        <v>42620390.399999999</v>
      </c>
      <c r="Y103" s="4">
        <v>0</v>
      </c>
      <c r="Z103" s="4">
        <f t="shared" si="29"/>
        <v>360.28</v>
      </c>
      <c r="AA103" s="4">
        <v>0</v>
      </c>
      <c r="AB103" s="4">
        <v>0</v>
      </c>
      <c r="AC103" s="4">
        <v>92.4</v>
      </c>
      <c r="AD103" s="23"/>
      <c r="AE103" s="24"/>
      <c r="AG103" s="22"/>
    </row>
    <row r="104" spans="1:34" s="7" customFormat="1" ht="96" customHeight="1" x14ac:dyDescent="0.45">
      <c r="A104" s="19">
        <v>12</v>
      </c>
      <c r="B104" s="6" t="s">
        <v>52</v>
      </c>
      <c r="C104" s="4">
        <v>1321.5</v>
      </c>
      <c r="D104" s="4">
        <f t="shared" si="20"/>
        <v>124404328</v>
      </c>
      <c r="E104" s="4">
        <f t="shared" si="21"/>
        <v>0</v>
      </c>
      <c r="F104" s="4">
        <v>0</v>
      </c>
      <c r="G104" s="4">
        <f t="shared" si="26"/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f t="shared" si="22"/>
        <v>1321.5</v>
      </c>
      <c r="O104" s="4">
        <f t="shared" si="23"/>
        <v>1582.1</v>
      </c>
      <c r="P104" s="4">
        <f t="shared" si="23"/>
        <v>124404328</v>
      </c>
      <c r="Q104" s="4">
        <v>0</v>
      </c>
      <c r="R104" s="4">
        <v>0</v>
      </c>
      <c r="S104" s="4">
        <v>0</v>
      </c>
      <c r="T104" s="4">
        <f t="shared" si="27"/>
        <v>0</v>
      </c>
      <c r="U104" s="4">
        <v>0</v>
      </c>
      <c r="V104" s="4">
        <f t="shared" si="24"/>
        <v>0</v>
      </c>
      <c r="W104" s="4">
        <f>1118+464.1</f>
        <v>1582.1</v>
      </c>
      <c r="X104" s="4">
        <f>84454600+39949728</f>
        <v>124404328</v>
      </c>
      <c r="Y104" s="4">
        <v>0</v>
      </c>
      <c r="Z104" s="4">
        <f t="shared" si="29"/>
        <v>785.09999999999991</v>
      </c>
      <c r="AA104" s="4">
        <v>0</v>
      </c>
      <c r="AB104" s="4">
        <v>0</v>
      </c>
      <c r="AC104" s="4">
        <v>797</v>
      </c>
      <c r="AD104" s="23"/>
      <c r="AE104" s="24"/>
      <c r="AG104" s="22"/>
    </row>
    <row r="105" spans="1:34" s="7" customFormat="1" ht="113.45" customHeight="1" x14ac:dyDescent="0.45">
      <c r="A105" s="19">
        <v>13</v>
      </c>
      <c r="B105" s="6" t="s">
        <v>97</v>
      </c>
      <c r="C105" s="4">
        <v>5191.4399999999996</v>
      </c>
      <c r="D105" s="4">
        <f t="shared" si="20"/>
        <v>587288711.84000003</v>
      </c>
      <c r="E105" s="4">
        <f t="shared" si="21"/>
        <v>0</v>
      </c>
      <c r="F105" s="4">
        <v>0</v>
      </c>
      <c r="G105" s="4">
        <f t="shared" si="26"/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f t="shared" si="22"/>
        <v>5191.4399999999996</v>
      </c>
      <c r="O105" s="4">
        <f t="shared" si="23"/>
        <v>6000.68</v>
      </c>
      <c r="P105" s="4">
        <f t="shared" si="23"/>
        <v>587288711.84000003</v>
      </c>
      <c r="Q105" s="4">
        <v>0</v>
      </c>
      <c r="R105" s="4">
        <v>0</v>
      </c>
      <c r="S105" s="4">
        <f>3285.37+2715.31</f>
        <v>6000.68</v>
      </c>
      <c r="T105" s="4">
        <f>321540344.63+265748367.21</f>
        <v>587288711.84000003</v>
      </c>
      <c r="U105" s="4">
        <v>0</v>
      </c>
      <c r="V105" s="4">
        <f t="shared" si="24"/>
        <v>0</v>
      </c>
      <c r="W105" s="4">
        <v>0</v>
      </c>
      <c r="X105" s="4"/>
      <c r="Y105" s="4">
        <v>0</v>
      </c>
      <c r="Z105" s="4">
        <f t="shared" si="29"/>
        <v>4995.17</v>
      </c>
      <c r="AA105" s="4">
        <v>0</v>
      </c>
      <c r="AB105" s="4">
        <v>0</v>
      </c>
      <c r="AC105" s="4">
        <v>1005.51</v>
      </c>
      <c r="AD105" s="23"/>
      <c r="AE105" s="24"/>
      <c r="AG105" s="22"/>
    </row>
    <row r="106" spans="1:34" s="7" customFormat="1" ht="113.45" customHeight="1" x14ac:dyDescent="0.45">
      <c r="A106" s="19">
        <v>14</v>
      </c>
      <c r="B106" s="6" t="s">
        <v>61</v>
      </c>
      <c r="C106" s="4">
        <v>2265</v>
      </c>
      <c r="D106" s="4">
        <f t="shared" si="20"/>
        <v>248880000</v>
      </c>
      <c r="E106" s="4">
        <f t="shared" si="21"/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f t="shared" si="22"/>
        <v>2265</v>
      </c>
      <c r="O106" s="4">
        <f t="shared" si="23"/>
        <v>2488.8000000000002</v>
      </c>
      <c r="P106" s="4">
        <f t="shared" si="23"/>
        <v>248880000</v>
      </c>
      <c r="Q106" s="4">
        <v>0</v>
      </c>
      <c r="R106" s="4">
        <v>0</v>
      </c>
      <c r="S106" s="4">
        <v>2488.8000000000002</v>
      </c>
      <c r="T106" s="4">
        <v>248880000</v>
      </c>
      <c r="U106" s="4">
        <v>0</v>
      </c>
      <c r="V106" s="4">
        <f t="shared" si="24"/>
        <v>0</v>
      </c>
      <c r="W106" s="4">
        <v>0</v>
      </c>
      <c r="X106" s="4">
        <v>0</v>
      </c>
      <c r="Y106" s="4">
        <v>0</v>
      </c>
      <c r="Z106" s="4">
        <f>O106-AC106</f>
        <v>969.00000000000023</v>
      </c>
      <c r="AA106" s="4">
        <v>0</v>
      </c>
      <c r="AB106" s="4">
        <v>0</v>
      </c>
      <c r="AC106" s="4">
        <v>1519.8</v>
      </c>
      <c r="AD106" s="23"/>
      <c r="AE106" s="24"/>
      <c r="AG106" s="22"/>
    </row>
    <row r="107" spans="1:34" s="7" customFormat="1" ht="87" customHeight="1" x14ac:dyDescent="0.45">
      <c r="A107" s="19">
        <v>15</v>
      </c>
      <c r="B107" s="6" t="s">
        <v>90</v>
      </c>
      <c r="C107" s="4">
        <v>9659.68</v>
      </c>
      <c r="D107" s="4">
        <f t="shared" si="20"/>
        <v>1023636441.7</v>
      </c>
      <c r="E107" s="4">
        <f t="shared" si="21"/>
        <v>0</v>
      </c>
      <c r="F107" s="4">
        <v>0</v>
      </c>
      <c r="G107" s="4">
        <f t="shared" si="26"/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f t="shared" si="22"/>
        <v>9659.68</v>
      </c>
      <c r="O107" s="4">
        <f t="shared" si="23"/>
        <v>11417.96</v>
      </c>
      <c r="P107" s="4">
        <f t="shared" si="23"/>
        <v>1023636441.7</v>
      </c>
      <c r="Q107" s="4">
        <v>0</v>
      </c>
      <c r="R107" s="4">
        <v>0</v>
      </c>
      <c r="S107" s="4">
        <f>6525.92+4892.04</f>
        <v>11417.96</v>
      </c>
      <c r="T107" s="4">
        <f>585058060.07+438578381.63</f>
        <v>1023636441.7</v>
      </c>
      <c r="U107" s="4">
        <v>0</v>
      </c>
      <c r="V107" s="4">
        <f t="shared" si="24"/>
        <v>0</v>
      </c>
      <c r="W107" s="4">
        <v>0</v>
      </c>
      <c r="X107" s="4">
        <f t="shared" si="25"/>
        <v>0</v>
      </c>
      <c r="Y107" s="4">
        <v>0</v>
      </c>
      <c r="Z107" s="4">
        <f t="shared" si="29"/>
        <v>6483.7599999999993</v>
      </c>
      <c r="AA107" s="4">
        <v>0</v>
      </c>
      <c r="AB107" s="4">
        <v>0</v>
      </c>
      <c r="AC107" s="4">
        <v>4934.2</v>
      </c>
      <c r="AD107" s="23"/>
      <c r="AE107" s="24"/>
      <c r="AG107" s="22"/>
    </row>
    <row r="108" spans="1:34" s="7" customFormat="1" ht="91.7" customHeight="1" x14ac:dyDescent="0.45">
      <c r="A108" s="19">
        <v>16</v>
      </c>
      <c r="B108" s="6" t="s">
        <v>98</v>
      </c>
      <c r="C108" s="4">
        <v>574.5</v>
      </c>
      <c r="D108" s="4">
        <f t="shared" si="20"/>
        <v>63485577.159999996</v>
      </c>
      <c r="E108" s="4">
        <f t="shared" si="21"/>
        <v>0</v>
      </c>
      <c r="F108" s="4">
        <v>0</v>
      </c>
      <c r="G108" s="4">
        <f t="shared" si="26"/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f t="shared" si="22"/>
        <v>574.5</v>
      </c>
      <c r="O108" s="4">
        <f t="shared" si="23"/>
        <v>710.56</v>
      </c>
      <c r="P108" s="4">
        <f t="shared" si="23"/>
        <v>63485577.159999996</v>
      </c>
      <c r="Q108" s="4">
        <v>0</v>
      </c>
      <c r="R108" s="4">
        <v>0</v>
      </c>
      <c r="S108" s="4">
        <v>649.76</v>
      </c>
      <c r="T108" s="4">
        <v>58251913.159999996</v>
      </c>
      <c r="U108" s="4">
        <v>0</v>
      </c>
      <c r="V108" s="4">
        <f t="shared" si="24"/>
        <v>0</v>
      </c>
      <c r="W108" s="4">
        <v>60.8</v>
      </c>
      <c r="X108" s="4">
        <v>5233664</v>
      </c>
      <c r="Y108" s="4">
        <v>0</v>
      </c>
      <c r="Z108" s="4">
        <f>(S108+W108)-AC108</f>
        <v>550.55999999999995</v>
      </c>
      <c r="AA108" s="4">
        <v>0</v>
      </c>
      <c r="AB108" s="4">
        <v>0</v>
      </c>
      <c r="AC108" s="4">
        <v>160</v>
      </c>
      <c r="AD108" s="23"/>
      <c r="AE108" s="24"/>
      <c r="AG108" s="22"/>
    </row>
    <row r="109" spans="1:34" s="7" customFormat="1" ht="91.7" customHeight="1" x14ac:dyDescent="0.45">
      <c r="A109" s="19">
        <v>17</v>
      </c>
      <c r="B109" s="6" t="s">
        <v>108</v>
      </c>
      <c r="C109" s="4">
        <v>1602.6</v>
      </c>
      <c r="D109" s="4">
        <f t="shared" si="20"/>
        <v>147532363.86000001</v>
      </c>
      <c r="E109" s="4">
        <f t="shared" si="21"/>
        <v>142.89999999999998</v>
      </c>
      <c r="F109" s="4">
        <f>86.1+56.8</f>
        <v>142.89999999999998</v>
      </c>
      <c r="G109" s="4">
        <f>4012700+4889344</f>
        <v>8902044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f t="shared" si="22"/>
        <v>1459.6999999999998</v>
      </c>
      <c r="O109" s="4">
        <f t="shared" ref="O109:P118" si="30">Q109+S109+U109+W109</f>
        <v>1763.1</v>
      </c>
      <c r="P109" s="4">
        <f t="shared" si="30"/>
        <v>138630319.86000001</v>
      </c>
      <c r="Q109" s="4">
        <v>0</v>
      </c>
      <c r="R109" s="4">
        <v>0</v>
      </c>
      <c r="S109" s="4">
        <v>0</v>
      </c>
      <c r="T109" s="4">
        <f t="shared" si="27"/>
        <v>0</v>
      </c>
      <c r="U109" s="4">
        <v>0</v>
      </c>
      <c r="V109" s="4">
        <f t="shared" si="24"/>
        <v>0</v>
      </c>
      <c r="W109" s="4">
        <f>782.9+980.2</f>
        <v>1763.1</v>
      </c>
      <c r="X109" s="4">
        <f>54254703.86+84375616</f>
        <v>138630319.86000001</v>
      </c>
      <c r="Y109" s="4">
        <v>0</v>
      </c>
      <c r="Z109" s="4">
        <f>O109-AC109</f>
        <v>1239.5</v>
      </c>
      <c r="AA109" s="4">
        <v>0</v>
      </c>
      <c r="AB109" s="4">
        <v>0</v>
      </c>
      <c r="AC109" s="4">
        <v>523.6</v>
      </c>
      <c r="AD109" s="23"/>
      <c r="AE109" s="24"/>
      <c r="AG109" s="22"/>
    </row>
    <row r="110" spans="1:34" s="7" customFormat="1" ht="91.7" customHeight="1" x14ac:dyDescent="0.45">
      <c r="A110" s="19">
        <v>18</v>
      </c>
      <c r="B110" s="6" t="s">
        <v>109</v>
      </c>
      <c r="C110" s="4">
        <v>655.79</v>
      </c>
      <c r="D110" s="4">
        <f t="shared" si="20"/>
        <v>66523118.780000001</v>
      </c>
      <c r="E110" s="4">
        <f t="shared" si="21"/>
        <v>75.5</v>
      </c>
      <c r="F110" s="4">
        <v>75.5</v>
      </c>
      <c r="G110" s="4">
        <f>F110*86080</f>
        <v>6499040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f t="shared" si="22"/>
        <v>580.29</v>
      </c>
      <c r="O110" s="4">
        <f t="shared" si="30"/>
        <v>723.16</v>
      </c>
      <c r="P110" s="4">
        <f t="shared" si="30"/>
        <v>60024078.780000001</v>
      </c>
      <c r="Q110" s="4">
        <v>0</v>
      </c>
      <c r="R110" s="4">
        <v>0</v>
      </c>
      <c r="S110" s="4">
        <v>0</v>
      </c>
      <c r="T110" s="4">
        <f t="shared" si="27"/>
        <v>0</v>
      </c>
      <c r="U110" s="4">
        <v>0</v>
      </c>
      <c r="V110" s="4">
        <f t="shared" si="24"/>
        <v>0</v>
      </c>
      <c r="W110" s="4">
        <f>478.4+244.76</f>
        <v>723.16</v>
      </c>
      <c r="X110" s="4">
        <f>38955137.98+21068940.8</f>
        <v>60024078.780000001</v>
      </c>
      <c r="Y110" s="4">
        <v>0</v>
      </c>
      <c r="Z110" s="4">
        <f t="shared" si="29"/>
        <v>211.99999999999994</v>
      </c>
      <c r="AA110" s="4">
        <v>0</v>
      </c>
      <c r="AB110" s="4">
        <v>0</v>
      </c>
      <c r="AC110" s="4">
        <v>511.16</v>
      </c>
      <c r="AD110" s="23"/>
      <c r="AE110" s="24"/>
      <c r="AG110" s="22"/>
    </row>
    <row r="111" spans="1:34" s="7" customFormat="1" ht="108" customHeight="1" x14ac:dyDescent="0.45">
      <c r="A111" s="19">
        <v>19</v>
      </c>
      <c r="B111" s="6" t="s">
        <v>82</v>
      </c>
      <c r="C111" s="4">
        <v>8091.87</v>
      </c>
      <c r="D111" s="4">
        <f t="shared" si="20"/>
        <v>801215924.02999997</v>
      </c>
      <c r="E111" s="4">
        <f t="shared" si="21"/>
        <v>64.099999999999994</v>
      </c>
      <c r="F111" s="4">
        <v>45.5</v>
      </c>
      <c r="G111" s="4">
        <v>3998454.92</v>
      </c>
      <c r="H111" s="4">
        <v>0</v>
      </c>
      <c r="I111" s="4">
        <v>0</v>
      </c>
      <c r="J111" s="4">
        <v>0</v>
      </c>
      <c r="K111" s="4">
        <v>0</v>
      </c>
      <c r="L111" s="4">
        <v>18.600000000000001</v>
      </c>
      <c r="M111" s="4">
        <v>0</v>
      </c>
      <c r="N111" s="4">
        <f t="shared" si="22"/>
        <v>8027.7699999999995</v>
      </c>
      <c r="O111" s="4">
        <f t="shared" si="30"/>
        <v>9071.99</v>
      </c>
      <c r="P111" s="4">
        <f t="shared" si="30"/>
        <v>797217469.11000001</v>
      </c>
      <c r="Q111" s="4">
        <v>0</v>
      </c>
      <c r="R111" s="4">
        <v>0</v>
      </c>
      <c r="S111" s="4">
        <f>5830.21+2962.88</f>
        <v>8793.09</v>
      </c>
      <c r="T111" s="4">
        <f>512347952.31+260372353.81</f>
        <v>772720306.12</v>
      </c>
      <c r="U111" s="4">
        <v>0</v>
      </c>
      <c r="V111" s="4">
        <f t="shared" si="24"/>
        <v>0</v>
      </c>
      <c r="W111" s="4">
        <v>278.89999999999998</v>
      </c>
      <c r="X111" s="4">
        <v>24497162.989999998</v>
      </c>
      <c r="Y111" s="4">
        <v>0</v>
      </c>
      <c r="Z111" s="4">
        <f t="shared" si="29"/>
        <v>4247.25</v>
      </c>
      <c r="AA111" s="4">
        <v>0</v>
      </c>
      <c r="AB111" s="4">
        <v>0</v>
      </c>
      <c r="AC111" s="4">
        <v>4824.74</v>
      </c>
      <c r="AD111" s="23"/>
      <c r="AE111" s="24"/>
      <c r="AG111" s="22"/>
      <c r="AH111" s="22"/>
    </row>
    <row r="112" spans="1:34" s="7" customFormat="1" ht="108" customHeight="1" x14ac:dyDescent="0.45">
      <c r="A112" s="19">
        <v>20</v>
      </c>
      <c r="B112" s="6" t="s">
        <v>67</v>
      </c>
      <c r="C112" s="4">
        <v>976.4</v>
      </c>
      <c r="D112" s="4">
        <f t="shared" si="20"/>
        <v>70068297</v>
      </c>
      <c r="E112" s="4">
        <f t="shared" si="21"/>
        <v>44.8</v>
      </c>
      <c r="F112" s="4">
        <v>44.8</v>
      </c>
      <c r="G112" s="4">
        <v>1458300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f t="shared" si="22"/>
        <v>931.6</v>
      </c>
      <c r="O112" s="4">
        <f t="shared" si="30"/>
        <v>1006.6</v>
      </c>
      <c r="P112" s="4">
        <f t="shared" si="30"/>
        <v>68609997</v>
      </c>
      <c r="Q112" s="4">
        <v>0</v>
      </c>
      <c r="R112" s="4">
        <v>0</v>
      </c>
      <c r="S112" s="4">
        <v>0</v>
      </c>
      <c r="T112" s="4">
        <f t="shared" si="27"/>
        <v>0</v>
      </c>
      <c r="U112" s="4">
        <v>0</v>
      </c>
      <c r="V112" s="4">
        <f t="shared" si="24"/>
        <v>0</v>
      </c>
      <c r="W112" s="4">
        <f>815.7+190.9</f>
        <v>1006.6</v>
      </c>
      <c r="X112" s="4">
        <f>52177325+16432672</f>
        <v>68609997</v>
      </c>
      <c r="Y112" s="4">
        <v>0</v>
      </c>
      <c r="Z112" s="4">
        <f t="shared" si="29"/>
        <v>590.90000000000009</v>
      </c>
      <c r="AA112" s="4">
        <v>0</v>
      </c>
      <c r="AB112" s="4">
        <v>0</v>
      </c>
      <c r="AC112" s="4">
        <v>415.7</v>
      </c>
      <c r="AD112" s="23"/>
      <c r="AE112" s="24"/>
      <c r="AG112" s="22"/>
    </row>
    <row r="113" spans="1:35" s="7" customFormat="1" ht="108" customHeight="1" x14ac:dyDescent="0.45">
      <c r="A113" s="19">
        <v>21</v>
      </c>
      <c r="B113" s="6" t="s">
        <v>127</v>
      </c>
      <c r="C113" s="4">
        <v>642</v>
      </c>
      <c r="D113" s="4">
        <f t="shared" si="20"/>
        <v>56538468.399999999</v>
      </c>
      <c r="E113" s="4">
        <f t="shared" si="21"/>
        <v>211.7</v>
      </c>
      <c r="F113" s="4">
        <f>188.6+23.1</f>
        <v>211.7</v>
      </c>
      <c r="G113" s="4">
        <f>16235566+1988448</f>
        <v>18224014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f t="shared" si="22"/>
        <v>430.3</v>
      </c>
      <c r="O113" s="4">
        <f t="shared" si="30"/>
        <v>453.03</v>
      </c>
      <c r="P113" s="4">
        <f t="shared" si="30"/>
        <v>38314454.399999999</v>
      </c>
      <c r="Q113" s="4">
        <v>0</v>
      </c>
      <c r="R113" s="4">
        <v>0</v>
      </c>
      <c r="S113" s="4">
        <v>0</v>
      </c>
      <c r="T113" s="4">
        <f t="shared" si="27"/>
        <v>0</v>
      </c>
      <c r="U113" s="4">
        <v>0</v>
      </c>
      <c r="V113" s="4">
        <f t="shared" si="24"/>
        <v>0</v>
      </c>
      <c r="W113" s="4">
        <f>84.6+368.43</f>
        <v>453.03</v>
      </c>
      <c r="X113" s="4">
        <f>6600000+31714454.4</f>
        <v>38314454.399999999</v>
      </c>
      <c r="Y113" s="4">
        <v>0</v>
      </c>
      <c r="Z113" s="4">
        <f t="shared" si="29"/>
        <v>198.92999999999998</v>
      </c>
      <c r="AA113" s="4">
        <v>0</v>
      </c>
      <c r="AB113" s="4">
        <v>0</v>
      </c>
      <c r="AC113" s="4">
        <v>254.1</v>
      </c>
      <c r="AD113" s="23"/>
      <c r="AE113" s="24"/>
      <c r="AG113" s="22"/>
    </row>
    <row r="114" spans="1:35" s="7" customFormat="1" ht="108" customHeight="1" x14ac:dyDescent="0.45">
      <c r="A114" s="19">
        <v>22</v>
      </c>
      <c r="B114" s="6" t="s">
        <v>115</v>
      </c>
      <c r="C114" s="4">
        <v>1054.6500000000001</v>
      </c>
      <c r="D114" s="4">
        <f t="shared" si="20"/>
        <v>107397296</v>
      </c>
      <c r="E114" s="4">
        <f t="shared" si="21"/>
        <v>90</v>
      </c>
      <c r="F114" s="4">
        <v>90</v>
      </c>
      <c r="G114" s="4">
        <f>F114*86080</f>
        <v>7747200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f t="shared" si="22"/>
        <v>964.65000000000009</v>
      </c>
      <c r="O114" s="4">
        <f t="shared" si="30"/>
        <v>1120.4000000000001</v>
      </c>
      <c r="P114" s="4">
        <f t="shared" si="30"/>
        <v>99650096</v>
      </c>
      <c r="Q114" s="4">
        <v>0</v>
      </c>
      <c r="R114" s="4">
        <v>0</v>
      </c>
      <c r="S114" s="4">
        <v>0</v>
      </c>
      <c r="T114" s="4">
        <f t="shared" si="27"/>
        <v>0</v>
      </c>
      <c r="U114" s="4">
        <v>0</v>
      </c>
      <c r="V114" s="4">
        <f t="shared" si="24"/>
        <v>0</v>
      </c>
      <c r="W114" s="4">
        <f>752.4+368</f>
        <v>1120.4000000000001</v>
      </c>
      <c r="X114" s="4">
        <f>67972656+31677440</f>
        <v>99650096</v>
      </c>
      <c r="Y114" s="4">
        <v>0</v>
      </c>
      <c r="Z114" s="4">
        <f t="shared" si="29"/>
        <v>718.80000000000007</v>
      </c>
      <c r="AA114" s="4">
        <v>0</v>
      </c>
      <c r="AB114" s="4">
        <v>0</v>
      </c>
      <c r="AC114" s="4">
        <v>401.6</v>
      </c>
      <c r="AD114" s="23"/>
      <c r="AE114" s="24"/>
      <c r="AG114" s="22"/>
    </row>
    <row r="115" spans="1:35" s="7" customFormat="1" ht="117.2" customHeight="1" x14ac:dyDescent="0.45">
      <c r="A115" s="19">
        <v>23</v>
      </c>
      <c r="B115" s="6" t="s">
        <v>99</v>
      </c>
      <c r="C115" s="4">
        <v>1233.5999999999999</v>
      </c>
      <c r="D115" s="4">
        <f t="shared" si="20"/>
        <v>111872774</v>
      </c>
      <c r="E115" s="4">
        <f t="shared" si="21"/>
        <v>211.3</v>
      </c>
      <c r="F115" s="4">
        <v>211.3</v>
      </c>
      <c r="G115" s="4">
        <v>15164086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f t="shared" si="22"/>
        <v>1022.3</v>
      </c>
      <c r="O115" s="4">
        <f t="shared" si="30"/>
        <v>1074.5</v>
      </c>
      <c r="P115" s="4">
        <f t="shared" si="30"/>
        <v>96708688</v>
      </c>
      <c r="Q115" s="4">
        <v>0</v>
      </c>
      <c r="R115" s="4">
        <v>0</v>
      </c>
      <c r="S115" s="4">
        <v>0</v>
      </c>
      <c r="T115" s="4">
        <f t="shared" si="27"/>
        <v>0</v>
      </c>
      <c r="U115" s="4">
        <v>0</v>
      </c>
      <c r="V115" s="4">
        <f t="shared" si="24"/>
        <v>0</v>
      </c>
      <c r="W115" s="4">
        <f>710.9+363.6</f>
        <v>1074.5</v>
      </c>
      <c r="X115" s="4">
        <f>65410000+31298688</f>
        <v>96708688</v>
      </c>
      <c r="Y115" s="4">
        <v>0</v>
      </c>
      <c r="Z115" s="4">
        <f t="shared" si="29"/>
        <v>704.9</v>
      </c>
      <c r="AA115" s="4">
        <v>0</v>
      </c>
      <c r="AB115" s="4">
        <v>0</v>
      </c>
      <c r="AC115" s="4">
        <v>369.6</v>
      </c>
      <c r="AD115" s="23"/>
      <c r="AE115" s="24"/>
      <c r="AG115" s="22"/>
    </row>
    <row r="116" spans="1:35" s="7" customFormat="1" ht="117.2" customHeight="1" x14ac:dyDescent="0.45">
      <c r="A116" s="19">
        <v>24</v>
      </c>
      <c r="B116" s="6" t="s">
        <v>116</v>
      </c>
      <c r="C116" s="4">
        <v>1669.77</v>
      </c>
      <c r="D116" s="4">
        <f t="shared" si="20"/>
        <v>133749563.12</v>
      </c>
      <c r="E116" s="4">
        <f t="shared" si="21"/>
        <v>267.10000000000002</v>
      </c>
      <c r="F116" s="4">
        <v>267.10000000000002</v>
      </c>
      <c r="G116" s="4">
        <v>16690000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f t="shared" si="22"/>
        <v>1402.67</v>
      </c>
      <c r="O116" s="4">
        <f t="shared" si="30"/>
        <v>1367.5</v>
      </c>
      <c r="P116" s="4">
        <f t="shared" si="30"/>
        <v>117059563.12</v>
      </c>
      <c r="Q116" s="4">
        <v>0</v>
      </c>
      <c r="R116" s="4">
        <v>0</v>
      </c>
      <c r="S116" s="4">
        <v>0</v>
      </c>
      <c r="T116" s="4">
        <f t="shared" si="27"/>
        <v>0</v>
      </c>
      <c r="U116" s="4">
        <v>0</v>
      </c>
      <c r="V116" s="4">
        <f t="shared" si="24"/>
        <v>0</v>
      </c>
      <c r="W116" s="4">
        <f>813.1+554.4</f>
        <v>1367.5</v>
      </c>
      <c r="X116" s="4">
        <f>69621819.12+47437744</f>
        <v>117059563.12</v>
      </c>
      <c r="Y116" s="4">
        <v>0</v>
      </c>
      <c r="Z116" s="4">
        <f t="shared" si="29"/>
        <v>1110.7</v>
      </c>
      <c r="AA116" s="4">
        <v>0</v>
      </c>
      <c r="AB116" s="4">
        <v>0</v>
      </c>
      <c r="AC116" s="4">
        <v>256.8</v>
      </c>
      <c r="AD116" s="23"/>
      <c r="AE116" s="24"/>
      <c r="AG116" s="22"/>
    </row>
    <row r="117" spans="1:35" s="7" customFormat="1" ht="117.2" customHeight="1" x14ac:dyDescent="0.45">
      <c r="A117" s="19">
        <v>25</v>
      </c>
      <c r="B117" s="6" t="s">
        <v>117</v>
      </c>
      <c r="C117" s="4">
        <v>1431.4</v>
      </c>
      <c r="D117" s="4">
        <f t="shared" si="20"/>
        <v>124144918.33</v>
      </c>
      <c r="E117" s="4">
        <f t="shared" si="21"/>
        <v>368.1</v>
      </c>
      <c r="F117" s="4">
        <f>233.95+134.15</f>
        <v>368.1</v>
      </c>
      <c r="G117" s="4">
        <f>19622278.33+11547632</f>
        <v>31169910.329999998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f t="shared" si="22"/>
        <v>1063.3000000000002</v>
      </c>
      <c r="O117" s="4">
        <f t="shared" si="30"/>
        <v>1080.0999999999999</v>
      </c>
      <c r="P117" s="4">
        <f t="shared" si="30"/>
        <v>92975008</v>
      </c>
      <c r="Q117" s="4">
        <v>0</v>
      </c>
      <c r="R117" s="4">
        <v>0</v>
      </c>
      <c r="S117" s="4">
        <v>0</v>
      </c>
      <c r="T117" s="4">
        <f t="shared" si="27"/>
        <v>0</v>
      </c>
      <c r="U117" s="4">
        <v>0</v>
      </c>
      <c r="V117" s="4">
        <f t="shared" si="24"/>
        <v>0</v>
      </c>
      <c r="W117" s="4">
        <f>60.5+1019.6</f>
        <v>1080.0999999999999</v>
      </c>
      <c r="X117" s="4">
        <f>5207840+87767168</f>
        <v>92975008</v>
      </c>
      <c r="Y117" s="4">
        <v>0</v>
      </c>
      <c r="Z117" s="4">
        <f t="shared" si="29"/>
        <v>646.09999999999991</v>
      </c>
      <c r="AA117" s="4">
        <v>0</v>
      </c>
      <c r="AB117" s="4">
        <v>0</v>
      </c>
      <c r="AC117" s="4">
        <v>434</v>
      </c>
      <c r="AD117" s="23"/>
      <c r="AE117" s="24"/>
      <c r="AG117" s="22"/>
    </row>
    <row r="118" spans="1:35" s="7" customFormat="1" ht="117.2" customHeight="1" x14ac:dyDescent="0.45">
      <c r="A118" s="19">
        <v>26</v>
      </c>
      <c r="B118" s="6" t="s">
        <v>110</v>
      </c>
      <c r="C118" s="4">
        <v>1018.19</v>
      </c>
      <c r="D118" s="4">
        <f t="shared" si="20"/>
        <v>101676833.40000001</v>
      </c>
      <c r="E118" s="4">
        <f t="shared" si="21"/>
        <v>148.19999999999999</v>
      </c>
      <c r="F118" s="4">
        <v>148.19999999999999</v>
      </c>
      <c r="G118" s="4">
        <v>13022027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f t="shared" si="22"/>
        <v>869.99</v>
      </c>
      <c r="O118" s="4">
        <f t="shared" si="30"/>
        <v>1021.83</v>
      </c>
      <c r="P118" s="4">
        <f t="shared" si="30"/>
        <v>88654806.400000006</v>
      </c>
      <c r="Q118" s="4">
        <v>0</v>
      </c>
      <c r="R118" s="4">
        <v>0</v>
      </c>
      <c r="S118" s="4">
        <v>0</v>
      </c>
      <c r="T118" s="4">
        <f t="shared" si="27"/>
        <v>0</v>
      </c>
      <c r="U118" s="4">
        <v>0</v>
      </c>
      <c r="V118" s="4">
        <f t="shared" si="24"/>
        <v>0</v>
      </c>
      <c r="W118" s="4">
        <f>557.7+464.13</f>
        <v>1021.83</v>
      </c>
      <c r="X118" s="4">
        <f>48670208+39984598.4</f>
        <v>88654806.400000006</v>
      </c>
      <c r="Y118" s="4">
        <v>0</v>
      </c>
      <c r="Z118" s="4">
        <f t="shared" si="29"/>
        <v>788.83</v>
      </c>
      <c r="AA118" s="4">
        <v>0</v>
      </c>
      <c r="AB118" s="4">
        <v>0</v>
      </c>
      <c r="AC118" s="4">
        <v>233</v>
      </c>
      <c r="AD118" s="23"/>
      <c r="AE118" s="24"/>
      <c r="AG118" s="22"/>
    </row>
    <row r="119" spans="1:35" s="7" customFormat="1" ht="56.25" customHeight="1" x14ac:dyDescent="0.45">
      <c r="A119" s="19"/>
      <c r="B119" s="6" t="s">
        <v>100</v>
      </c>
      <c r="C119" s="4">
        <f t="shared" ref="C119:AC119" si="31">SUM(C120:C123)</f>
        <v>29265.43</v>
      </c>
      <c r="D119" s="4">
        <f t="shared" si="31"/>
        <v>4245004734.8800001</v>
      </c>
      <c r="E119" s="4">
        <f t="shared" si="31"/>
        <v>158</v>
      </c>
      <c r="F119" s="4">
        <f t="shared" si="31"/>
        <v>158</v>
      </c>
      <c r="G119" s="4">
        <f t="shared" si="31"/>
        <v>20943532</v>
      </c>
      <c r="H119" s="4">
        <f t="shared" si="31"/>
        <v>0</v>
      </c>
      <c r="I119" s="4">
        <f t="shared" si="31"/>
        <v>0</v>
      </c>
      <c r="J119" s="4">
        <f t="shared" si="31"/>
        <v>0</v>
      </c>
      <c r="K119" s="4">
        <f t="shared" si="31"/>
        <v>0</v>
      </c>
      <c r="L119" s="4">
        <f t="shared" si="31"/>
        <v>0</v>
      </c>
      <c r="M119" s="4">
        <v>0</v>
      </c>
      <c r="N119" s="16">
        <f t="shared" si="31"/>
        <v>29107.43</v>
      </c>
      <c r="O119" s="16">
        <f>SUM(O120:O123)</f>
        <v>31866.720000000001</v>
      </c>
      <c r="P119" s="16">
        <f t="shared" si="31"/>
        <v>4224061202.8800001</v>
      </c>
      <c r="Q119" s="16">
        <f t="shared" si="31"/>
        <v>0</v>
      </c>
      <c r="R119" s="4">
        <f t="shared" si="31"/>
        <v>0</v>
      </c>
      <c r="S119" s="4">
        <f t="shared" si="31"/>
        <v>28087.78</v>
      </c>
      <c r="T119" s="4">
        <f t="shared" si="31"/>
        <v>3723147590.1199999</v>
      </c>
      <c r="U119" s="4">
        <f t="shared" si="31"/>
        <v>3778.94</v>
      </c>
      <c r="V119" s="16">
        <f t="shared" si="31"/>
        <v>500913612.75999999</v>
      </c>
      <c r="W119" s="16">
        <f t="shared" si="31"/>
        <v>0</v>
      </c>
      <c r="X119" s="4">
        <f t="shared" si="31"/>
        <v>0</v>
      </c>
      <c r="Y119" s="4">
        <v>0</v>
      </c>
      <c r="Z119" s="4">
        <f t="shared" si="31"/>
        <v>14239.87</v>
      </c>
      <c r="AA119" s="4">
        <f t="shared" si="31"/>
        <v>0</v>
      </c>
      <c r="AB119" s="16">
        <f t="shared" si="31"/>
        <v>0</v>
      </c>
      <c r="AC119" s="16">
        <f t="shared" si="31"/>
        <v>17626.849999999999</v>
      </c>
      <c r="AD119" s="23"/>
      <c r="AE119" s="24"/>
    </row>
    <row r="120" spans="1:35" s="7" customFormat="1" ht="60.75" x14ac:dyDescent="0.45">
      <c r="A120" s="19">
        <v>2</v>
      </c>
      <c r="B120" s="6" t="s">
        <v>102</v>
      </c>
      <c r="C120" s="4">
        <v>3630.75</v>
      </c>
      <c r="D120" s="4">
        <f>G120+H120+I120+K120+P120</f>
        <v>500913612.75999999</v>
      </c>
      <c r="E120" s="4">
        <f>F120+J120+L120</f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f>C120-E120</f>
        <v>3630.75</v>
      </c>
      <c r="O120" s="4">
        <f t="shared" ref="O120:P123" si="32">Q120+S120+U120+W120</f>
        <v>3778.94</v>
      </c>
      <c r="P120" s="4">
        <f t="shared" si="32"/>
        <v>500913612.75999999</v>
      </c>
      <c r="Q120" s="4">
        <v>0</v>
      </c>
      <c r="R120" s="4">
        <v>0</v>
      </c>
      <c r="S120" s="4">
        <v>0</v>
      </c>
      <c r="T120" s="4">
        <v>0</v>
      </c>
      <c r="U120" s="4">
        <v>3778.94</v>
      </c>
      <c r="V120" s="4">
        <v>500913612.75999999</v>
      </c>
      <c r="W120" s="4">
        <v>0</v>
      </c>
      <c r="X120" s="4">
        <v>0</v>
      </c>
      <c r="Y120" s="4">
        <v>0</v>
      </c>
      <c r="Z120" s="4">
        <v>898.18</v>
      </c>
      <c r="AA120" s="4">
        <v>0</v>
      </c>
      <c r="AB120" s="4">
        <v>0</v>
      </c>
      <c r="AC120" s="4">
        <f>3778.94-Z120</f>
        <v>2880.76</v>
      </c>
      <c r="AD120" s="23"/>
      <c r="AE120" s="24"/>
    </row>
    <row r="121" spans="1:35" s="7" customFormat="1" ht="81" x14ac:dyDescent="0.45">
      <c r="A121" s="19">
        <v>3</v>
      </c>
      <c r="B121" s="6" t="s">
        <v>34</v>
      </c>
      <c r="C121" s="4">
        <v>10065.34</v>
      </c>
      <c r="D121" s="4">
        <f>G121+H121+I121+K121+P121</f>
        <v>1398566649.6800001</v>
      </c>
      <c r="E121" s="4">
        <f>F121+J121+L121</f>
        <v>158</v>
      </c>
      <c r="F121" s="4">
        <v>158</v>
      </c>
      <c r="G121" s="4">
        <f>F121*132554</f>
        <v>20943532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f>C121-E121</f>
        <v>9907.34</v>
      </c>
      <c r="O121" s="4">
        <f t="shared" si="32"/>
        <v>10392.92</v>
      </c>
      <c r="P121" s="4">
        <f t="shared" si="32"/>
        <v>1377623117.6800001</v>
      </c>
      <c r="Q121" s="4">
        <v>0</v>
      </c>
      <c r="R121" s="4">
        <v>0</v>
      </c>
      <c r="S121" s="4">
        <f>10550.92-F121</f>
        <v>10392.92</v>
      </c>
      <c r="T121" s="4">
        <v>1377623117.6800001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5464.33</v>
      </c>
      <c r="AA121" s="4">
        <v>0</v>
      </c>
      <c r="AB121" s="4">
        <v>0</v>
      </c>
      <c r="AC121" s="4">
        <f>10550.92-Z121-F121</f>
        <v>4928.59</v>
      </c>
      <c r="AD121" s="23"/>
      <c r="AE121" s="24"/>
    </row>
    <row r="122" spans="1:35" s="7" customFormat="1" ht="81" x14ac:dyDescent="0.45">
      <c r="A122" s="19">
        <v>13</v>
      </c>
      <c r="B122" s="6" t="s">
        <v>90</v>
      </c>
      <c r="C122" s="4">
        <v>10735.81</v>
      </c>
      <c r="D122" s="4">
        <f>G122+H122+I122+K122+P122</f>
        <v>1664693989.9400001</v>
      </c>
      <c r="E122" s="4">
        <f>F122+J122+L122</f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f>C122-E122</f>
        <v>10735.81</v>
      </c>
      <c r="O122" s="4">
        <f t="shared" si="32"/>
        <v>12558.61</v>
      </c>
      <c r="P122" s="4">
        <f t="shared" si="32"/>
        <v>1664693989.9400001</v>
      </c>
      <c r="Q122" s="4">
        <v>0</v>
      </c>
      <c r="R122" s="4">
        <v>0</v>
      </c>
      <c r="S122" s="4">
        <v>12558.61</v>
      </c>
      <c r="T122" s="4">
        <v>1664693989.9400001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f>O122-AC122</f>
        <v>5772.7900000000009</v>
      </c>
      <c r="AA122" s="4">
        <v>0</v>
      </c>
      <c r="AB122" s="4">
        <v>0</v>
      </c>
      <c r="AC122" s="4">
        <v>6785.82</v>
      </c>
      <c r="AD122" s="23"/>
      <c r="AE122" s="24"/>
    </row>
    <row r="123" spans="1:35" s="7" customFormat="1" ht="81" x14ac:dyDescent="0.45">
      <c r="A123" s="19">
        <v>15</v>
      </c>
      <c r="B123" s="6" t="s">
        <v>82</v>
      </c>
      <c r="C123" s="4">
        <v>4833.53</v>
      </c>
      <c r="D123" s="4">
        <f>G123+H123+I123+K123+P123</f>
        <v>680830482.5</v>
      </c>
      <c r="E123" s="4">
        <f>F123+J123+L123</f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f>C123-E123</f>
        <v>4833.53</v>
      </c>
      <c r="O123" s="4">
        <f t="shared" si="32"/>
        <v>5136.25</v>
      </c>
      <c r="P123" s="4">
        <f t="shared" si="32"/>
        <v>680830482.5</v>
      </c>
      <c r="Q123" s="4">
        <v>0</v>
      </c>
      <c r="R123" s="4">
        <v>0</v>
      </c>
      <c r="S123" s="4">
        <v>5136.25</v>
      </c>
      <c r="T123" s="4">
        <v>680830482.5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2104.5700000000002</v>
      </c>
      <c r="AA123" s="4">
        <v>0</v>
      </c>
      <c r="AB123" s="4">
        <v>0</v>
      </c>
      <c r="AC123" s="4">
        <f>S123-Z123</f>
        <v>3031.68</v>
      </c>
      <c r="AD123" s="23"/>
      <c r="AE123" s="24"/>
    </row>
    <row r="124" spans="1:35" s="7" customFormat="1" ht="38.25" customHeight="1" x14ac:dyDescent="0.45">
      <c r="A124" s="19"/>
      <c r="B124" s="6" t="s">
        <v>111</v>
      </c>
      <c r="C124" s="4">
        <f t="shared" ref="C124:AC124" si="33">SUM(C125:C143)</f>
        <v>54774.16</v>
      </c>
      <c r="D124" s="4">
        <f t="shared" si="33"/>
        <v>7907674748.0899992</v>
      </c>
      <c r="E124" s="4">
        <f t="shared" si="33"/>
        <v>528.69999999999993</v>
      </c>
      <c r="F124" s="4">
        <f t="shared" si="33"/>
        <v>528.69999999999993</v>
      </c>
      <c r="G124" s="4">
        <f t="shared" si="33"/>
        <v>70081299.799999997</v>
      </c>
      <c r="H124" s="4">
        <f t="shared" si="33"/>
        <v>0</v>
      </c>
      <c r="I124" s="4">
        <f t="shared" si="33"/>
        <v>0</v>
      </c>
      <c r="J124" s="4">
        <f t="shared" si="33"/>
        <v>0</v>
      </c>
      <c r="K124" s="4">
        <f t="shared" si="33"/>
        <v>0</v>
      </c>
      <c r="L124" s="4">
        <f t="shared" si="33"/>
        <v>0</v>
      </c>
      <c r="M124" s="4">
        <v>0</v>
      </c>
      <c r="N124" s="16">
        <f t="shared" si="33"/>
        <v>54245.459999999992</v>
      </c>
      <c r="O124" s="16">
        <f t="shared" si="33"/>
        <v>59127.55</v>
      </c>
      <c r="P124" s="16">
        <f t="shared" si="33"/>
        <v>7837593448.2900009</v>
      </c>
      <c r="Q124" s="16">
        <f t="shared" si="33"/>
        <v>0</v>
      </c>
      <c r="R124" s="4">
        <f t="shared" si="33"/>
        <v>0</v>
      </c>
      <c r="S124" s="4">
        <f t="shared" si="33"/>
        <v>48023.26</v>
      </c>
      <c r="T124" s="4">
        <f t="shared" si="33"/>
        <v>6365675683.2399998</v>
      </c>
      <c r="U124" s="4">
        <f t="shared" si="33"/>
        <v>619.33000000000004</v>
      </c>
      <c r="V124" s="16">
        <f t="shared" si="33"/>
        <v>82094284.409999996</v>
      </c>
      <c r="W124" s="16">
        <f t="shared" si="33"/>
        <v>10484.960000000001</v>
      </c>
      <c r="X124" s="4">
        <f t="shared" si="33"/>
        <v>1389823480.6400001</v>
      </c>
      <c r="Y124" s="4">
        <v>0</v>
      </c>
      <c r="Z124" s="4">
        <f t="shared" si="33"/>
        <v>24421.17</v>
      </c>
      <c r="AA124" s="4">
        <f t="shared" si="33"/>
        <v>0</v>
      </c>
      <c r="AB124" s="16">
        <f t="shared" si="33"/>
        <v>0</v>
      </c>
      <c r="AC124" s="16">
        <f t="shared" si="33"/>
        <v>34706.379999999997</v>
      </c>
      <c r="AD124" s="23"/>
      <c r="AE124" s="24"/>
    </row>
    <row r="125" spans="1:35" s="7" customFormat="1" ht="60.75" x14ac:dyDescent="0.45">
      <c r="A125" s="19">
        <v>1</v>
      </c>
      <c r="B125" s="6" t="s">
        <v>101</v>
      </c>
      <c r="C125" s="4">
        <v>886.83</v>
      </c>
      <c r="D125" s="4">
        <f t="shared" ref="D125:D143" si="34">G125+H125+I125+K125+P125</f>
        <v>127593391.89</v>
      </c>
      <c r="E125" s="4">
        <f t="shared" ref="E125:E143" si="35">F125+J125+L125</f>
        <v>45.2</v>
      </c>
      <c r="F125" s="4">
        <v>45.2</v>
      </c>
      <c r="G125" s="4">
        <f>F125*132554</f>
        <v>5991440.8000000007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f t="shared" ref="N125:N143" si="36">C125-E125</f>
        <v>841.63</v>
      </c>
      <c r="O125" s="4">
        <f t="shared" ref="O125:O133" si="37">Q125+S125+U125+W125</f>
        <v>917.38</v>
      </c>
      <c r="P125" s="4">
        <f t="shared" ref="P125:P133" si="38">R125+T125+V125+X125</f>
        <v>121601951.09</v>
      </c>
      <c r="Q125" s="4">
        <v>0</v>
      </c>
      <c r="R125" s="4">
        <v>0</v>
      </c>
      <c r="S125" s="4">
        <v>0</v>
      </c>
      <c r="T125" s="4">
        <f>S125*86080</f>
        <v>0</v>
      </c>
      <c r="U125" s="4">
        <v>0</v>
      </c>
      <c r="V125" s="4">
        <f>U125*86080</f>
        <v>0</v>
      </c>
      <c r="W125" s="4">
        <v>917.38</v>
      </c>
      <c r="X125" s="4">
        <v>121601951.09</v>
      </c>
      <c r="Y125" s="4">
        <v>0</v>
      </c>
      <c r="Z125" s="4">
        <v>258.82</v>
      </c>
      <c r="AA125" s="4">
        <v>0</v>
      </c>
      <c r="AB125" s="4">
        <v>0</v>
      </c>
      <c r="AC125" s="4">
        <f>W125-Z125</f>
        <v>658.56</v>
      </c>
      <c r="AD125" s="23"/>
      <c r="AE125" s="24"/>
      <c r="AI125" s="22"/>
    </row>
    <row r="126" spans="1:35" s="7" customFormat="1" ht="81" x14ac:dyDescent="0.45">
      <c r="A126" s="19">
        <v>2</v>
      </c>
      <c r="B126" s="6" t="s">
        <v>34</v>
      </c>
      <c r="C126" s="4">
        <v>2925.27</v>
      </c>
      <c r="D126" s="4">
        <f>G126+H126+I126+K126+P126</f>
        <v>420776541.18000001</v>
      </c>
      <c r="E126" s="4">
        <f t="shared" si="35"/>
        <v>157.4</v>
      </c>
      <c r="F126" s="4">
        <v>157.4</v>
      </c>
      <c r="G126" s="4">
        <v>20863999.600000001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f t="shared" si="36"/>
        <v>2767.87</v>
      </c>
      <c r="O126" s="4">
        <f>Q126+S126+U126+W126</f>
        <v>3016.98</v>
      </c>
      <c r="P126" s="4">
        <f t="shared" si="38"/>
        <v>399912541.57999998</v>
      </c>
      <c r="Q126" s="4">
        <v>0</v>
      </c>
      <c r="R126" s="4">
        <v>0</v>
      </c>
      <c r="S126" s="4">
        <v>3016.98</v>
      </c>
      <c r="T126" s="4">
        <v>399912541.57999998</v>
      </c>
      <c r="U126" s="4">
        <v>0</v>
      </c>
      <c r="V126" s="4">
        <v>0</v>
      </c>
      <c r="W126" s="4">
        <v>0</v>
      </c>
      <c r="X126" s="4">
        <f t="shared" ref="X126:X140" si="39">W126*86080</f>
        <v>0</v>
      </c>
      <c r="Y126" s="4">
        <v>0</v>
      </c>
      <c r="Z126" s="4">
        <v>1621.61</v>
      </c>
      <c r="AA126" s="4">
        <v>0</v>
      </c>
      <c r="AB126" s="4">
        <v>0</v>
      </c>
      <c r="AC126" s="4">
        <f>S126-Z126</f>
        <v>1395.3700000000001</v>
      </c>
      <c r="AD126" s="23"/>
      <c r="AE126" s="24"/>
      <c r="AI126" s="22"/>
    </row>
    <row r="127" spans="1:35" s="7" customFormat="1" ht="81" x14ac:dyDescent="0.45">
      <c r="A127" s="19">
        <v>3</v>
      </c>
      <c r="B127" s="6" t="s">
        <v>95</v>
      </c>
      <c r="C127" s="4">
        <v>4768.67</v>
      </c>
      <c r="D127" s="4">
        <f t="shared" si="34"/>
        <v>688995848.66999996</v>
      </c>
      <c r="E127" s="4">
        <f t="shared" si="35"/>
        <v>0</v>
      </c>
      <c r="F127" s="4">
        <v>0</v>
      </c>
      <c r="G127" s="4">
        <f t="shared" ref="G127:G142" si="40">F127*86080</f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f t="shared" si="36"/>
        <v>4768.67</v>
      </c>
      <c r="O127" s="4">
        <f t="shared" ref="O127" si="41">Q127+S127+U127+W127</f>
        <v>5197.8500000000004</v>
      </c>
      <c r="P127" s="4">
        <f t="shared" si="38"/>
        <v>688995848.66999996</v>
      </c>
      <c r="Q127" s="4">
        <v>0</v>
      </c>
      <c r="R127" s="4">
        <v>0</v>
      </c>
      <c r="S127" s="4">
        <v>5197.8500000000004</v>
      </c>
      <c r="T127" s="4">
        <v>688995848.66999996</v>
      </c>
      <c r="U127" s="4">
        <v>0</v>
      </c>
      <c r="V127" s="4">
        <f t="shared" ref="V127:V143" si="42">U127*86080</f>
        <v>0</v>
      </c>
      <c r="W127" s="4">
        <v>0</v>
      </c>
      <c r="X127" s="4">
        <v>0</v>
      </c>
      <c r="Y127" s="4">
        <v>0</v>
      </c>
      <c r="Z127" s="4">
        <v>1699.1</v>
      </c>
      <c r="AA127" s="4">
        <v>0</v>
      </c>
      <c r="AB127" s="4">
        <v>0</v>
      </c>
      <c r="AC127" s="4">
        <f>5197.85-Z127</f>
        <v>3498.7500000000005</v>
      </c>
      <c r="AD127" s="23"/>
      <c r="AE127" s="24"/>
      <c r="AG127" s="22"/>
      <c r="AI127" s="22"/>
    </row>
    <row r="128" spans="1:35" s="7" customFormat="1" ht="81" x14ac:dyDescent="0.45">
      <c r="A128" s="19">
        <v>4</v>
      </c>
      <c r="B128" s="6" t="s">
        <v>103</v>
      </c>
      <c r="C128" s="4">
        <v>568.19000000000005</v>
      </c>
      <c r="D128" s="4">
        <f t="shared" si="34"/>
        <v>82094284.409999996</v>
      </c>
      <c r="E128" s="4">
        <f t="shared" si="35"/>
        <v>0</v>
      </c>
      <c r="F128" s="4">
        <v>0</v>
      </c>
      <c r="G128" s="4">
        <f t="shared" si="40"/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f t="shared" si="36"/>
        <v>568.19000000000005</v>
      </c>
      <c r="O128" s="4">
        <f t="shared" si="37"/>
        <v>619.33000000000004</v>
      </c>
      <c r="P128" s="4">
        <f t="shared" si="38"/>
        <v>82094284.409999996</v>
      </c>
      <c r="Q128" s="4">
        <v>0</v>
      </c>
      <c r="R128" s="4">
        <v>0</v>
      </c>
      <c r="S128" s="4">
        <v>0</v>
      </c>
      <c r="T128" s="4">
        <f t="shared" ref="T128:T143" si="43">S128*86080</f>
        <v>0</v>
      </c>
      <c r="U128" s="4">
        <v>619.33000000000004</v>
      </c>
      <c r="V128" s="4">
        <v>82094284.409999996</v>
      </c>
      <c r="W128" s="4">
        <v>0</v>
      </c>
      <c r="X128" s="4">
        <f t="shared" si="39"/>
        <v>0</v>
      </c>
      <c r="Y128" s="4">
        <v>0</v>
      </c>
      <c r="Z128" s="4">
        <v>274.12</v>
      </c>
      <c r="AA128" s="4">
        <v>0</v>
      </c>
      <c r="AB128" s="4">
        <v>0</v>
      </c>
      <c r="AC128" s="4">
        <f>U128-Z128</f>
        <v>345.21000000000004</v>
      </c>
      <c r="AD128" s="23"/>
      <c r="AE128" s="24"/>
      <c r="AI128" s="22"/>
    </row>
    <row r="129" spans="1:35" s="7" customFormat="1" ht="81" x14ac:dyDescent="0.45">
      <c r="A129" s="19">
        <v>5</v>
      </c>
      <c r="B129" s="6" t="s">
        <v>104</v>
      </c>
      <c r="C129" s="4">
        <v>1315.6</v>
      </c>
      <c r="D129" s="4">
        <f t="shared" si="34"/>
        <v>190082966.22</v>
      </c>
      <c r="E129" s="4">
        <f t="shared" si="35"/>
        <v>0</v>
      </c>
      <c r="F129" s="4">
        <v>0</v>
      </c>
      <c r="G129" s="4">
        <f t="shared" si="40"/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f t="shared" si="36"/>
        <v>1315.6</v>
      </c>
      <c r="O129" s="4">
        <f>Q129+S129+U129+W129</f>
        <v>1434</v>
      </c>
      <c r="P129" s="4">
        <f t="shared" si="38"/>
        <v>190082966.22</v>
      </c>
      <c r="Q129" s="4">
        <v>0</v>
      </c>
      <c r="R129" s="4">
        <v>0</v>
      </c>
      <c r="S129" s="4">
        <v>1434</v>
      </c>
      <c r="T129" s="4">
        <v>190082966.22</v>
      </c>
      <c r="U129" s="4">
        <v>0</v>
      </c>
      <c r="V129" s="4">
        <f t="shared" si="42"/>
        <v>0</v>
      </c>
      <c r="W129" s="4">
        <v>0</v>
      </c>
      <c r="X129" s="4">
        <f t="shared" si="39"/>
        <v>0</v>
      </c>
      <c r="Y129" s="4">
        <v>0</v>
      </c>
      <c r="Z129" s="4">
        <v>764.96</v>
      </c>
      <c r="AA129" s="4">
        <v>0</v>
      </c>
      <c r="AB129" s="4">
        <v>0</v>
      </c>
      <c r="AC129" s="4">
        <f>S129-Z129</f>
        <v>669.04</v>
      </c>
      <c r="AD129" s="23"/>
      <c r="AE129" s="24"/>
      <c r="AI129" s="22"/>
    </row>
    <row r="130" spans="1:35" s="7" customFormat="1" ht="81" x14ac:dyDescent="0.45">
      <c r="A130" s="19">
        <v>6</v>
      </c>
      <c r="B130" s="6" t="s">
        <v>105</v>
      </c>
      <c r="C130" s="4">
        <v>8992.16</v>
      </c>
      <c r="D130" s="4">
        <f t="shared" si="34"/>
        <v>1299221986.54</v>
      </c>
      <c r="E130" s="4">
        <f t="shared" si="35"/>
        <v>0</v>
      </c>
      <c r="F130" s="4">
        <v>0</v>
      </c>
      <c r="G130" s="4">
        <f t="shared" si="40"/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f t="shared" si="36"/>
        <v>8992.16</v>
      </c>
      <c r="O130" s="4">
        <f t="shared" si="37"/>
        <v>9801.4500000000007</v>
      </c>
      <c r="P130" s="4">
        <f t="shared" si="38"/>
        <v>1299221986.54</v>
      </c>
      <c r="Q130" s="4">
        <v>0</v>
      </c>
      <c r="R130" s="4">
        <v>0</v>
      </c>
      <c r="S130" s="4">
        <v>9801.4500000000007</v>
      </c>
      <c r="T130" s="4">
        <v>1299221986.54</v>
      </c>
      <c r="U130" s="4">
        <v>0</v>
      </c>
      <c r="V130" s="4">
        <f t="shared" si="42"/>
        <v>0</v>
      </c>
      <c r="W130" s="4">
        <v>0</v>
      </c>
      <c r="X130" s="4">
        <f t="shared" si="39"/>
        <v>0</v>
      </c>
      <c r="Y130" s="4">
        <v>0</v>
      </c>
      <c r="Z130" s="4">
        <v>4310.63</v>
      </c>
      <c r="AA130" s="4">
        <v>0</v>
      </c>
      <c r="AB130" s="4">
        <v>0</v>
      </c>
      <c r="AC130" s="4">
        <f>S130-Z130</f>
        <v>5490.8200000000006</v>
      </c>
      <c r="AD130" s="23"/>
      <c r="AE130" s="24"/>
      <c r="AI130" s="22"/>
    </row>
    <row r="131" spans="1:35" s="7" customFormat="1" ht="60.75" x14ac:dyDescent="0.45">
      <c r="A131" s="19">
        <v>7</v>
      </c>
      <c r="B131" s="6" t="s">
        <v>128</v>
      </c>
      <c r="C131" s="4">
        <v>2172.5</v>
      </c>
      <c r="D131" s="4">
        <f t="shared" si="34"/>
        <v>313891185.85000002</v>
      </c>
      <c r="E131" s="4">
        <f t="shared" si="35"/>
        <v>0</v>
      </c>
      <c r="F131" s="4">
        <v>0</v>
      </c>
      <c r="G131" s="4">
        <f t="shared" si="40"/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f t="shared" si="36"/>
        <v>2172.5</v>
      </c>
      <c r="O131" s="4">
        <f t="shared" si="37"/>
        <v>2368.0300000000002</v>
      </c>
      <c r="P131" s="4">
        <f t="shared" si="38"/>
        <v>313891185.85000002</v>
      </c>
      <c r="Q131" s="4">
        <v>0</v>
      </c>
      <c r="R131" s="4">
        <v>0</v>
      </c>
      <c r="S131" s="4">
        <v>0</v>
      </c>
      <c r="T131" s="4">
        <f t="shared" si="43"/>
        <v>0</v>
      </c>
      <c r="U131" s="4">
        <v>0</v>
      </c>
      <c r="V131" s="4">
        <f t="shared" si="42"/>
        <v>0</v>
      </c>
      <c r="W131" s="4">
        <v>2368.0300000000002</v>
      </c>
      <c r="X131" s="4">
        <v>313891185.85000002</v>
      </c>
      <c r="Y131" s="4">
        <v>0</v>
      </c>
      <c r="Z131" s="4">
        <v>456.38</v>
      </c>
      <c r="AA131" s="4">
        <v>0</v>
      </c>
      <c r="AB131" s="4">
        <v>0</v>
      </c>
      <c r="AC131" s="4">
        <f>W131-Z131</f>
        <v>1911.65</v>
      </c>
      <c r="AD131" s="23"/>
      <c r="AE131" s="24"/>
      <c r="AI131" s="22"/>
    </row>
    <row r="132" spans="1:35" s="7" customFormat="1" ht="81" x14ac:dyDescent="0.45">
      <c r="A132" s="19">
        <v>8</v>
      </c>
      <c r="B132" s="6" t="s">
        <v>106</v>
      </c>
      <c r="C132" s="4">
        <v>2332.4</v>
      </c>
      <c r="D132" s="4">
        <f t="shared" si="34"/>
        <v>336994155.06</v>
      </c>
      <c r="E132" s="4">
        <f t="shared" si="35"/>
        <v>0</v>
      </c>
      <c r="F132" s="4">
        <v>0</v>
      </c>
      <c r="G132" s="4">
        <f t="shared" si="40"/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f t="shared" si="36"/>
        <v>2332.4</v>
      </c>
      <c r="O132" s="4">
        <f>Q132+S132+U132+W132</f>
        <v>2542.3200000000002</v>
      </c>
      <c r="P132" s="4">
        <f>R132+T132+V132+X132</f>
        <v>336994155.06</v>
      </c>
      <c r="Q132" s="4">
        <v>0</v>
      </c>
      <c r="R132" s="4">
        <v>0</v>
      </c>
      <c r="S132" s="4">
        <v>2542.3200000000002</v>
      </c>
      <c r="T132" s="4">
        <v>336994155.06</v>
      </c>
      <c r="U132" s="4">
        <v>0</v>
      </c>
      <c r="V132" s="4">
        <f t="shared" si="42"/>
        <v>0</v>
      </c>
      <c r="W132" s="4">
        <v>0</v>
      </c>
      <c r="X132" s="4">
        <f t="shared" si="39"/>
        <v>0</v>
      </c>
      <c r="Y132" s="4">
        <v>0</v>
      </c>
      <c r="Z132" s="4">
        <v>1065.5999999999999</v>
      </c>
      <c r="AA132" s="4">
        <v>0</v>
      </c>
      <c r="AB132" s="4">
        <v>0</v>
      </c>
      <c r="AC132" s="4">
        <f>S132-Z132</f>
        <v>1476.7200000000003</v>
      </c>
      <c r="AD132" s="23"/>
      <c r="AE132" s="24"/>
      <c r="AI132" s="22"/>
    </row>
    <row r="133" spans="1:35" s="7" customFormat="1" ht="81" x14ac:dyDescent="0.45">
      <c r="A133" s="19">
        <v>9</v>
      </c>
      <c r="B133" s="6" t="s">
        <v>54</v>
      </c>
      <c r="C133" s="4">
        <v>285.60000000000002</v>
      </c>
      <c r="D133" s="4">
        <f t="shared" si="34"/>
        <v>41264590.420000002</v>
      </c>
      <c r="E133" s="4">
        <f t="shared" si="35"/>
        <v>0</v>
      </c>
      <c r="F133" s="4">
        <v>0</v>
      </c>
      <c r="G133" s="4">
        <f t="shared" si="40"/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f t="shared" si="36"/>
        <v>285.60000000000002</v>
      </c>
      <c r="O133" s="4">
        <f t="shared" si="37"/>
        <v>311.3</v>
      </c>
      <c r="P133" s="4">
        <f t="shared" si="38"/>
        <v>41264590.420000002</v>
      </c>
      <c r="Q133" s="4">
        <v>0</v>
      </c>
      <c r="R133" s="4">
        <v>0</v>
      </c>
      <c r="S133" s="4">
        <v>0</v>
      </c>
      <c r="T133" s="4">
        <f t="shared" si="43"/>
        <v>0</v>
      </c>
      <c r="U133" s="4">
        <v>0</v>
      </c>
      <c r="V133" s="4">
        <f t="shared" si="42"/>
        <v>0</v>
      </c>
      <c r="W133" s="4">
        <v>311.3</v>
      </c>
      <c r="X133" s="4">
        <v>41264590.420000002</v>
      </c>
      <c r="Y133" s="4">
        <v>0</v>
      </c>
      <c r="Z133" s="4">
        <v>248.08</v>
      </c>
      <c r="AA133" s="4">
        <v>0</v>
      </c>
      <c r="AB133" s="4">
        <v>0</v>
      </c>
      <c r="AC133" s="4">
        <f t="shared" ref="AC133:AC135" si="44">W133-Z133</f>
        <v>63.22</v>
      </c>
      <c r="AD133" s="23"/>
      <c r="AE133" s="24"/>
      <c r="AI133" s="22"/>
    </row>
    <row r="134" spans="1:35" s="7" customFormat="1" ht="81" x14ac:dyDescent="0.45">
      <c r="A134" s="19">
        <v>10</v>
      </c>
      <c r="B134" s="6" t="s">
        <v>57</v>
      </c>
      <c r="C134" s="4">
        <v>704.2</v>
      </c>
      <c r="D134" s="4">
        <f t="shared" si="34"/>
        <v>101745534.20999999</v>
      </c>
      <c r="E134" s="4">
        <f t="shared" si="35"/>
        <v>0</v>
      </c>
      <c r="F134" s="4">
        <v>0</v>
      </c>
      <c r="G134" s="4">
        <f t="shared" si="40"/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f t="shared" si="36"/>
        <v>704.2</v>
      </c>
      <c r="O134" s="4">
        <f t="shared" ref="O134:O135" si="45">Q134+S134+U134+W134</f>
        <v>767.58</v>
      </c>
      <c r="P134" s="4">
        <f t="shared" ref="P134:P135" si="46">R134+T134+V134+X134</f>
        <v>101745534.20999999</v>
      </c>
      <c r="Q134" s="4">
        <v>0</v>
      </c>
      <c r="R134" s="4">
        <v>0</v>
      </c>
      <c r="S134" s="4">
        <v>0</v>
      </c>
      <c r="T134" s="4">
        <f t="shared" si="43"/>
        <v>0</v>
      </c>
      <c r="U134" s="4">
        <v>0</v>
      </c>
      <c r="V134" s="4">
        <f t="shared" si="42"/>
        <v>0</v>
      </c>
      <c r="W134" s="4">
        <v>767.58</v>
      </c>
      <c r="X134" s="4">
        <v>101745534.20999999</v>
      </c>
      <c r="Y134" s="4">
        <v>0</v>
      </c>
      <c r="Z134" s="4">
        <v>315.01</v>
      </c>
      <c r="AA134" s="4">
        <v>0</v>
      </c>
      <c r="AB134" s="4">
        <v>0</v>
      </c>
      <c r="AC134" s="4">
        <f t="shared" si="44"/>
        <v>452.57000000000005</v>
      </c>
      <c r="AD134" s="23"/>
      <c r="AE134" s="24"/>
      <c r="AI134" s="22"/>
    </row>
    <row r="135" spans="1:35" s="7" customFormat="1" ht="81" x14ac:dyDescent="0.45">
      <c r="A135" s="19">
        <v>11</v>
      </c>
      <c r="B135" s="6" t="s">
        <v>107</v>
      </c>
      <c r="C135" s="4">
        <v>1193.8</v>
      </c>
      <c r="D135" s="4">
        <f t="shared" si="34"/>
        <v>172484832.06999999</v>
      </c>
      <c r="E135" s="4">
        <f t="shared" si="35"/>
        <v>0</v>
      </c>
      <c r="F135" s="4">
        <v>0</v>
      </c>
      <c r="G135" s="4">
        <f t="shared" si="40"/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f t="shared" si="36"/>
        <v>1193.8</v>
      </c>
      <c r="O135" s="4">
        <f t="shared" si="45"/>
        <v>1301.24</v>
      </c>
      <c r="P135" s="4">
        <f t="shared" si="46"/>
        <v>172484832.06999999</v>
      </c>
      <c r="Q135" s="4">
        <v>0</v>
      </c>
      <c r="R135" s="4">
        <v>0</v>
      </c>
      <c r="S135" s="4">
        <v>0</v>
      </c>
      <c r="T135" s="4">
        <f t="shared" si="43"/>
        <v>0</v>
      </c>
      <c r="U135" s="4">
        <v>0</v>
      </c>
      <c r="V135" s="4">
        <f t="shared" si="42"/>
        <v>0</v>
      </c>
      <c r="W135" s="4">
        <v>1301.24</v>
      </c>
      <c r="X135" s="4">
        <v>172484832.06999999</v>
      </c>
      <c r="Y135" s="4">
        <v>0</v>
      </c>
      <c r="Z135" s="4">
        <v>577.91</v>
      </c>
      <c r="AA135" s="4">
        <v>0</v>
      </c>
      <c r="AB135" s="4">
        <v>0</v>
      </c>
      <c r="AC135" s="4">
        <f t="shared" si="44"/>
        <v>723.33</v>
      </c>
      <c r="AD135" s="23"/>
      <c r="AE135" s="24"/>
      <c r="AI135" s="22"/>
    </row>
    <row r="136" spans="1:35" s="7" customFormat="1" ht="81" x14ac:dyDescent="0.45">
      <c r="A136" s="19">
        <v>12</v>
      </c>
      <c r="B136" s="6" t="s">
        <v>62</v>
      </c>
      <c r="C136" s="4">
        <v>882.03</v>
      </c>
      <c r="D136" s="4">
        <f t="shared" si="34"/>
        <v>127439099.04000001</v>
      </c>
      <c r="E136" s="4">
        <f t="shared" si="35"/>
        <v>0</v>
      </c>
      <c r="F136" s="4">
        <v>0</v>
      </c>
      <c r="G136" s="4">
        <f t="shared" si="40"/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f t="shared" si="36"/>
        <v>882.03</v>
      </c>
      <c r="O136" s="4">
        <f>Q136+S136+U136+W136</f>
        <v>961.41</v>
      </c>
      <c r="P136" s="4">
        <f>R136+T136+V136+X136</f>
        <v>127439099.04000001</v>
      </c>
      <c r="Q136" s="4">
        <v>0</v>
      </c>
      <c r="R136" s="4">
        <v>0</v>
      </c>
      <c r="S136" s="4">
        <v>0</v>
      </c>
      <c r="T136" s="4">
        <f t="shared" si="43"/>
        <v>0</v>
      </c>
      <c r="U136" s="4">
        <v>0</v>
      </c>
      <c r="V136" s="4">
        <f t="shared" si="42"/>
        <v>0</v>
      </c>
      <c r="W136" s="4">
        <v>961.41</v>
      </c>
      <c r="X136" s="4">
        <v>127439099.04000001</v>
      </c>
      <c r="Y136" s="4">
        <v>0</v>
      </c>
      <c r="Z136" s="4">
        <v>436.43</v>
      </c>
      <c r="AA136" s="4">
        <v>0</v>
      </c>
      <c r="AB136" s="4">
        <v>0</v>
      </c>
      <c r="AC136" s="4">
        <f>W136-Z136</f>
        <v>524.98</v>
      </c>
      <c r="AD136" s="23"/>
      <c r="AE136" s="24"/>
      <c r="AI136" s="22"/>
    </row>
    <row r="137" spans="1:35" s="7" customFormat="1" ht="81" x14ac:dyDescent="0.45">
      <c r="A137" s="19">
        <v>13</v>
      </c>
      <c r="B137" s="6" t="s">
        <v>90</v>
      </c>
      <c r="C137" s="4">
        <v>16041.16</v>
      </c>
      <c r="D137" s="4">
        <f t="shared" si="34"/>
        <v>2317688715.6799998</v>
      </c>
      <c r="E137" s="4">
        <f t="shared" si="35"/>
        <v>0</v>
      </c>
      <c r="F137" s="4">
        <v>0</v>
      </c>
      <c r="G137" s="4">
        <f t="shared" si="40"/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f t="shared" si="36"/>
        <v>16041.16</v>
      </c>
      <c r="O137" s="4">
        <f t="shared" ref="O137:P137" si="47">Q137+S137+U137+W137</f>
        <v>17484.86</v>
      </c>
      <c r="P137" s="4">
        <f t="shared" si="47"/>
        <v>2317688715.6799998</v>
      </c>
      <c r="Q137" s="4">
        <v>0</v>
      </c>
      <c r="R137" s="4">
        <v>0</v>
      </c>
      <c r="S137" s="4">
        <v>17484.86</v>
      </c>
      <c r="T137" s="4">
        <v>2317688715.6799998</v>
      </c>
      <c r="U137" s="4">
        <v>0</v>
      </c>
      <c r="V137" s="4">
        <f t="shared" si="42"/>
        <v>0</v>
      </c>
      <c r="W137" s="4">
        <v>0</v>
      </c>
      <c r="X137" s="4">
        <f t="shared" si="39"/>
        <v>0</v>
      </c>
      <c r="Y137" s="4">
        <v>0</v>
      </c>
      <c r="Z137" s="4">
        <v>7877.38</v>
      </c>
      <c r="AA137" s="4">
        <v>0</v>
      </c>
      <c r="AB137" s="4">
        <v>0</v>
      </c>
      <c r="AC137" s="4">
        <f>O137-Z137</f>
        <v>9607.48</v>
      </c>
      <c r="AD137" s="23"/>
      <c r="AE137" s="24"/>
      <c r="AI137" s="22"/>
    </row>
    <row r="138" spans="1:35" s="7" customFormat="1" ht="81" x14ac:dyDescent="0.45">
      <c r="A138" s="19">
        <v>14</v>
      </c>
      <c r="B138" s="6" t="s">
        <v>109</v>
      </c>
      <c r="C138" s="4">
        <v>813.9</v>
      </c>
      <c r="D138" s="4">
        <f t="shared" si="34"/>
        <v>116441796.19</v>
      </c>
      <c r="E138" s="4">
        <f t="shared" si="35"/>
        <v>96.7</v>
      </c>
      <c r="F138" s="4">
        <v>96.7</v>
      </c>
      <c r="G138" s="4">
        <f>F138*132554</f>
        <v>12817971.800000001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f t="shared" si="36"/>
        <v>717.19999999999993</v>
      </c>
      <c r="O138" s="4">
        <f t="shared" ref="O138:O141" si="48">Q138+S138+U138+W138</f>
        <v>781.75</v>
      </c>
      <c r="P138" s="4">
        <f t="shared" ref="P138:P141" si="49">R138+T138+V138+X138</f>
        <v>103623824.39</v>
      </c>
      <c r="Q138" s="4">
        <v>0</v>
      </c>
      <c r="R138" s="4">
        <v>0</v>
      </c>
      <c r="S138" s="4">
        <v>0</v>
      </c>
      <c r="T138" s="4">
        <f t="shared" si="43"/>
        <v>0</v>
      </c>
      <c r="U138" s="4">
        <v>0</v>
      </c>
      <c r="V138" s="4">
        <f t="shared" si="42"/>
        <v>0</v>
      </c>
      <c r="W138" s="4">
        <v>781.75</v>
      </c>
      <c r="X138" s="4">
        <v>103623824.39</v>
      </c>
      <c r="Y138" s="4">
        <v>0</v>
      </c>
      <c r="Z138" s="4">
        <v>100.6</v>
      </c>
      <c r="AA138" s="4">
        <v>0</v>
      </c>
      <c r="AB138" s="4">
        <v>0</v>
      </c>
      <c r="AC138" s="4">
        <f>W138-Z138</f>
        <v>681.15</v>
      </c>
      <c r="AD138" s="23"/>
      <c r="AE138" s="24"/>
      <c r="AI138" s="22"/>
    </row>
    <row r="139" spans="1:35" s="7" customFormat="1" ht="81" x14ac:dyDescent="0.45">
      <c r="A139" s="19">
        <v>15</v>
      </c>
      <c r="B139" s="6" t="s">
        <v>129</v>
      </c>
      <c r="C139" s="4">
        <v>2063.2800000000002</v>
      </c>
      <c r="D139" s="4">
        <f t="shared" si="34"/>
        <v>298110658.66000003</v>
      </c>
      <c r="E139" s="4">
        <f t="shared" si="35"/>
        <v>0</v>
      </c>
      <c r="F139" s="4">
        <v>0</v>
      </c>
      <c r="G139" s="4">
        <f t="shared" si="40"/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f t="shared" si="36"/>
        <v>2063.2800000000002</v>
      </c>
      <c r="O139" s="4">
        <f t="shared" si="48"/>
        <v>2248.98</v>
      </c>
      <c r="P139" s="4">
        <f t="shared" si="49"/>
        <v>298110658.66000003</v>
      </c>
      <c r="Q139" s="4">
        <v>0</v>
      </c>
      <c r="R139" s="4">
        <v>0</v>
      </c>
      <c r="S139" s="4">
        <v>2248.98</v>
      </c>
      <c r="T139" s="4">
        <v>298110658.66000003</v>
      </c>
      <c r="U139" s="4">
        <v>0</v>
      </c>
      <c r="V139" s="4">
        <f t="shared" si="42"/>
        <v>0</v>
      </c>
      <c r="W139" s="4">
        <v>0</v>
      </c>
      <c r="X139" s="4">
        <f t="shared" si="39"/>
        <v>0</v>
      </c>
      <c r="Y139" s="4">
        <v>0</v>
      </c>
      <c r="Z139" s="4">
        <v>772.64</v>
      </c>
      <c r="AA139" s="4">
        <v>0</v>
      </c>
      <c r="AB139" s="4">
        <v>0</v>
      </c>
      <c r="AC139" s="4">
        <f t="shared" ref="AC139:AC140" si="50">O139-Z139</f>
        <v>1476.3400000000001</v>
      </c>
      <c r="AD139" s="23"/>
      <c r="AE139" s="24"/>
      <c r="AI139" s="22"/>
    </row>
    <row r="140" spans="1:35" s="7" customFormat="1" ht="81" x14ac:dyDescent="0.45">
      <c r="A140" s="19">
        <v>16</v>
      </c>
      <c r="B140" s="6" t="s">
        <v>130</v>
      </c>
      <c r="C140" s="4">
        <v>5776.9</v>
      </c>
      <c r="D140" s="4">
        <f t="shared" si="34"/>
        <v>834668810.83000004</v>
      </c>
      <c r="E140" s="4">
        <f t="shared" si="35"/>
        <v>0</v>
      </c>
      <c r="F140" s="4">
        <v>0</v>
      </c>
      <c r="G140" s="4">
        <f t="shared" si="40"/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f t="shared" si="36"/>
        <v>5776.9</v>
      </c>
      <c r="O140" s="4">
        <f t="shared" si="48"/>
        <v>6296.82</v>
      </c>
      <c r="P140" s="4">
        <f t="shared" si="49"/>
        <v>834668810.83000004</v>
      </c>
      <c r="Q140" s="4">
        <v>0</v>
      </c>
      <c r="R140" s="4">
        <v>0</v>
      </c>
      <c r="S140" s="4">
        <v>6296.82</v>
      </c>
      <c r="T140" s="4">
        <v>834668810.83000004</v>
      </c>
      <c r="U140" s="4">
        <v>0</v>
      </c>
      <c r="V140" s="4">
        <f t="shared" si="42"/>
        <v>0</v>
      </c>
      <c r="W140" s="4">
        <v>0</v>
      </c>
      <c r="X140" s="4">
        <f t="shared" si="39"/>
        <v>0</v>
      </c>
      <c r="Y140" s="4">
        <v>0</v>
      </c>
      <c r="Z140" s="4">
        <v>2599.54</v>
      </c>
      <c r="AA140" s="4">
        <v>0</v>
      </c>
      <c r="AB140" s="4">
        <v>0</v>
      </c>
      <c r="AC140" s="4">
        <f t="shared" si="50"/>
        <v>3697.2799999999997</v>
      </c>
      <c r="AD140" s="23"/>
      <c r="AE140" s="24"/>
      <c r="AI140" s="22"/>
    </row>
    <row r="141" spans="1:35" s="7" customFormat="1" ht="81" x14ac:dyDescent="0.45">
      <c r="A141" s="19">
        <v>17</v>
      </c>
      <c r="B141" s="6" t="s">
        <v>67</v>
      </c>
      <c r="C141" s="4">
        <v>1040.0999999999999</v>
      </c>
      <c r="D141" s="4">
        <f t="shared" si="34"/>
        <v>148946290.41</v>
      </c>
      <c r="E141" s="4">
        <f t="shared" si="35"/>
        <v>111.6</v>
      </c>
      <c r="F141" s="4">
        <v>111.6</v>
      </c>
      <c r="G141" s="4">
        <f>F141*132554</f>
        <v>14793026.399999999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f t="shared" si="36"/>
        <v>928.49999999999989</v>
      </c>
      <c r="O141" s="4">
        <f t="shared" si="48"/>
        <v>1012.06</v>
      </c>
      <c r="P141" s="4">
        <f t="shared" si="49"/>
        <v>134153264.01000001</v>
      </c>
      <c r="Q141" s="4">
        <v>0</v>
      </c>
      <c r="R141" s="4">
        <v>0</v>
      </c>
      <c r="S141" s="4">
        <v>0</v>
      </c>
      <c r="T141" s="4">
        <f t="shared" si="43"/>
        <v>0</v>
      </c>
      <c r="U141" s="4">
        <v>0</v>
      </c>
      <c r="V141" s="4">
        <f t="shared" si="42"/>
        <v>0</v>
      </c>
      <c r="W141" s="4">
        <v>1012.06</v>
      </c>
      <c r="X141" s="4">
        <v>134153264.01000001</v>
      </c>
      <c r="Y141" s="4">
        <v>0</v>
      </c>
      <c r="Z141" s="4">
        <v>160.44</v>
      </c>
      <c r="AA141" s="4">
        <v>0</v>
      </c>
      <c r="AB141" s="4">
        <v>0</v>
      </c>
      <c r="AC141" s="4">
        <f t="shared" ref="AC141:AC143" si="51">W141-Z141</f>
        <v>851.61999999999989</v>
      </c>
      <c r="AD141" s="23"/>
      <c r="AE141" s="24"/>
      <c r="AI141" s="22"/>
    </row>
    <row r="142" spans="1:35" s="7" customFormat="1" ht="81" x14ac:dyDescent="0.45">
      <c r="A142" s="19">
        <v>18</v>
      </c>
      <c r="B142" s="6" t="s">
        <v>116</v>
      </c>
      <c r="C142" s="4">
        <v>521.66999999999996</v>
      </c>
      <c r="D142" s="4">
        <f t="shared" si="34"/>
        <v>75372895.25</v>
      </c>
      <c r="E142" s="4">
        <f t="shared" si="35"/>
        <v>0</v>
      </c>
      <c r="F142" s="4">
        <v>0</v>
      </c>
      <c r="G142" s="4">
        <f t="shared" si="40"/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f t="shared" si="36"/>
        <v>521.66999999999996</v>
      </c>
      <c r="O142" s="4">
        <f t="shared" ref="O142" si="52">Q142+S142+U142+W142</f>
        <v>568.62</v>
      </c>
      <c r="P142" s="4">
        <f t="shared" ref="P142" si="53">R142+T142+V142+X142</f>
        <v>75372895.25</v>
      </c>
      <c r="Q142" s="4">
        <v>0</v>
      </c>
      <c r="R142" s="4">
        <v>0</v>
      </c>
      <c r="S142" s="4">
        <v>0</v>
      </c>
      <c r="T142" s="4">
        <f t="shared" si="43"/>
        <v>0</v>
      </c>
      <c r="U142" s="4">
        <v>0</v>
      </c>
      <c r="V142" s="4">
        <f t="shared" si="42"/>
        <v>0</v>
      </c>
      <c r="W142" s="4">
        <v>568.62</v>
      </c>
      <c r="X142" s="4">
        <v>75372895.25</v>
      </c>
      <c r="Y142" s="4">
        <v>0</v>
      </c>
      <c r="Z142" s="4">
        <v>257.02</v>
      </c>
      <c r="AA142" s="4">
        <v>0</v>
      </c>
      <c r="AB142" s="4">
        <v>0</v>
      </c>
      <c r="AC142" s="4">
        <f t="shared" si="51"/>
        <v>311.60000000000002</v>
      </c>
      <c r="AD142" s="23"/>
      <c r="AE142" s="24"/>
      <c r="AI142" s="22"/>
    </row>
    <row r="143" spans="1:35" s="7" customFormat="1" ht="81" x14ac:dyDescent="0.45">
      <c r="A143" s="19">
        <v>19</v>
      </c>
      <c r="B143" s="6" t="s">
        <v>117</v>
      </c>
      <c r="C143" s="4">
        <v>1489.9</v>
      </c>
      <c r="D143" s="4">
        <f t="shared" si="34"/>
        <v>213861165.50999999</v>
      </c>
      <c r="E143" s="4">
        <f t="shared" si="35"/>
        <v>117.8</v>
      </c>
      <c r="F143" s="4">
        <v>117.8</v>
      </c>
      <c r="G143" s="4">
        <f>F143*132554</f>
        <v>15614861.199999999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f t="shared" si="36"/>
        <v>1372.1000000000001</v>
      </c>
      <c r="O143" s="4">
        <f t="shared" ref="O143" si="54">Q143+S143+U143+W143</f>
        <v>1495.59</v>
      </c>
      <c r="P143" s="4">
        <f t="shared" ref="P143" si="55">R143+T143+V143+X143</f>
        <v>198246304.31</v>
      </c>
      <c r="Q143" s="4">
        <v>0</v>
      </c>
      <c r="R143" s="4">
        <v>0</v>
      </c>
      <c r="S143" s="4">
        <v>0</v>
      </c>
      <c r="T143" s="4">
        <f t="shared" si="43"/>
        <v>0</v>
      </c>
      <c r="U143" s="4">
        <v>0</v>
      </c>
      <c r="V143" s="4">
        <f t="shared" si="42"/>
        <v>0</v>
      </c>
      <c r="W143" s="4">
        <v>1495.59</v>
      </c>
      <c r="X143" s="4">
        <v>198246304.31</v>
      </c>
      <c r="Y143" s="4">
        <v>0</v>
      </c>
      <c r="Z143" s="4">
        <v>624.9</v>
      </c>
      <c r="AA143" s="4">
        <v>0</v>
      </c>
      <c r="AB143" s="4">
        <v>0</v>
      </c>
      <c r="AC143" s="4">
        <f t="shared" si="51"/>
        <v>870.68999999999994</v>
      </c>
      <c r="AD143" s="23"/>
      <c r="AE143" s="24"/>
      <c r="AI143" s="22"/>
    </row>
    <row r="146" spans="3:20" x14ac:dyDescent="0.45">
      <c r="S146" s="17"/>
    </row>
    <row r="147" spans="3:20" x14ac:dyDescent="0.45">
      <c r="C147" s="17"/>
      <c r="T147" s="18"/>
    </row>
    <row r="148" spans="3:20" x14ac:dyDescent="0.45">
      <c r="S148" s="17"/>
    </row>
    <row r="149" spans="3:20" x14ac:dyDescent="0.45">
      <c r="S149" s="17"/>
    </row>
  </sheetData>
  <sheetProtection formatCells="0" formatColumns="0" formatRows="0" insertColumns="0" insertRows="0" insertHyperlinks="0" deleteColumns="0" deleteRows="0" sort="0" autoFilter="0" pivotTables="0"/>
  <mergeCells count="28">
    <mergeCell ref="Y7:Y9"/>
    <mergeCell ref="C5:C10"/>
    <mergeCell ref="F7:I9"/>
    <mergeCell ref="E6:E9"/>
    <mergeCell ref="W7:X9"/>
    <mergeCell ref="E5:M5"/>
    <mergeCell ref="J7:K9"/>
    <mergeCell ref="L7:L9"/>
    <mergeCell ref="Q7:R9"/>
    <mergeCell ref="N6:P9"/>
    <mergeCell ref="F6:M6"/>
    <mergeCell ref="M7:M9"/>
    <mergeCell ref="AB1:AC1"/>
    <mergeCell ref="AA2:AC2"/>
    <mergeCell ref="Q6:X6"/>
    <mergeCell ref="Z6:AC6"/>
    <mergeCell ref="AB7:AB9"/>
    <mergeCell ref="AC7:AC9"/>
    <mergeCell ref="S8:T9"/>
    <mergeCell ref="U8:V9"/>
    <mergeCell ref="S7:V7"/>
    <mergeCell ref="AA7:AA9"/>
    <mergeCell ref="A4:AC4"/>
    <mergeCell ref="D5:D10"/>
    <mergeCell ref="N5:AC5"/>
    <mergeCell ref="A5:A11"/>
    <mergeCell ref="B5:B11"/>
    <mergeCell ref="Z7:Z9"/>
  </mergeCells>
  <pageMargins left="0" right="0" top="0" bottom="0" header="0.31496062992125984" footer="0.31496062992125984"/>
  <pageSetup paperSize="8" scale="35" fitToHeight="0" orientation="landscape" r:id="rId1"/>
  <rowBreaks count="7" manualBreakCount="7">
    <brk id="27" max="16383" man="1"/>
    <brk id="44" max="16383" man="1"/>
    <brk id="61" max="16383" man="1"/>
    <brk id="88" max="28" man="1"/>
    <brk id="102" max="28" man="1"/>
    <brk id="114" max="28" man="1"/>
    <brk id="128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</vt:lpstr>
      <vt:lpstr>'Форма 2'!Print_Area</vt:lpstr>
      <vt:lpstr>'Форма 2'!Print_Titles</vt:lpstr>
    </vt:vector>
  </TitlesOfParts>
  <Company>Фонд ЖКХ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cp:lastModifiedBy>Ольга Владимировна Терехова</cp:lastModifiedBy>
  <cp:lastPrinted>2023-05-29T11:29:22Z</cp:lastPrinted>
  <dcterms:created xsi:type="dcterms:W3CDTF">2012-12-13T11:50:40Z</dcterms:created>
  <dcterms:modified xsi:type="dcterms:W3CDTF">2023-08-17T14:56:55Z</dcterms:modified>
  <cp:category>Формы</cp:category>
</cp:coreProperties>
</file>